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480" yWindow="15" windowWidth="11355" windowHeight="8445"/>
  </bookViews>
  <sheets>
    <sheet name="Sheet1" sheetId="5" r:id="rId1"/>
    <sheet name="sheet 2" sheetId="1" state="hidden" r:id="rId2"/>
    <sheet name="sheet 3" sheetId="2" state="hidden" r:id="rId3"/>
    <sheet name="98" sheetId="7" state="hidden" r:id="rId4"/>
    <sheet name="1400" sheetId="8" state="hidden" r:id="rId5"/>
  </sheets>
  <definedNames>
    <definedName name="_xlnm.Print_Area" localSheetId="0">Sheet1!$A$1:$G$28</definedName>
  </definedNames>
  <calcPr calcId="162913"/>
</workbook>
</file>

<file path=xl/calcChain.xml><?xml version="1.0" encoding="utf-8"?>
<calcChain xmlns="http://schemas.openxmlformats.org/spreadsheetml/2006/main">
  <c r="G25" i="5" l="1"/>
  <c r="G19" i="5"/>
  <c r="F17" i="5" l="1"/>
  <c r="G17" i="5" s="1"/>
  <c r="F18" i="5"/>
  <c r="G18" i="5" s="1"/>
  <c r="F15" i="8" l="1"/>
  <c r="F14" i="8"/>
  <c r="F16" i="5"/>
  <c r="G16" i="5" s="1"/>
  <c r="F15" i="5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7" i="5"/>
  <c r="G7" i="5" s="1"/>
  <c r="F9" i="5"/>
  <c r="G9" i="5" s="1"/>
  <c r="F8" i="5"/>
  <c r="G8" i="5" s="1"/>
  <c r="B13" i="7"/>
  <c r="B6" i="7"/>
  <c r="F16" i="8"/>
  <c r="G16" i="8" s="1"/>
  <c r="F17" i="8"/>
  <c r="F18" i="8"/>
  <c r="G18" i="8" s="1"/>
  <c r="G21" i="5" s="1"/>
  <c r="F19" i="8"/>
  <c r="G19" i="8" s="1"/>
  <c r="F20" i="8"/>
  <c r="F21" i="8"/>
  <c r="F22" i="8"/>
  <c r="D5" i="8"/>
  <c r="D6" i="8"/>
  <c r="D7" i="8"/>
  <c r="G7" i="8" s="1"/>
  <c r="D8" i="8"/>
  <c r="D9" i="8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8" i="8"/>
  <c r="D19" i="8"/>
  <c r="D22" i="8"/>
  <c r="D23" i="8"/>
  <c r="D4" i="8"/>
  <c r="G4" i="8" s="1"/>
  <c r="F10" i="8"/>
  <c r="F5" i="8" l="1"/>
  <c r="F6" i="8"/>
  <c r="F9" i="8"/>
  <c r="F13" i="8"/>
  <c r="F8" i="8"/>
  <c r="F12" i="8"/>
  <c r="F4" i="8"/>
  <c r="F11" i="8"/>
  <c r="G9" i="8"/>
  <c r="B30" i="8"/>
  <c r="G8" i="8"/>
  <c r="G5" i="8"/>
  <c r="F7" i="8"/>
  <c r="F26" i="5" l="1"/>
  <c r="F23" i="8" s="1"/>
  <c r="B15" i="7"/>
  <c r="B16" i="7" s="1"/>
  <c r="B4" i="7"/>
  <c r="B3" i="7"/>
  <c r="B4" i="2" l="1"/>
  <c r="B3" i="2"/>
  <c r="F15" i="2" l="1"/>
  <c r="D20" i="5"/>
  <c r="D17" i="8" s="1"/>
  <c r="D24" i="5"/>
  <c r="G24" i="5" s="1"/>
  <c r="D23" i="5"/>
  <c r="G23" i="5" s="1"/>
  <c r="D21" i="8" l="1"/>
  <c r="D20" i="8"/>
  <c r="D54" i="5"/>
  <c r="C54" i="5" l="1"/>
  <c r="B54" i="5"/>
  <c r="B18" i="2"/>
  <c r="B51" i="1"/>
  <c r="D51" i="1"/>
  <c r="B50" i="1"/>
  <c r="D50" i="1"/>
  <c r="B42" i="1"/>
  <c r="J41" i="1" s="1"/>
  <c r="B43" i="1"/>
  <c r="J42" i="1" s="1"/>
  <c r="B44" i="1"/>
  <c r="J43" i="1" s="1"/>
  <c r="B45" i="1"/>
  <c r="J44" i="1" s="1"/>
  <c r="B46" i="1"/>
  <c r="J45" i="1" s="1"/>
  <c r="B41" i="1"/>
  <c r="J40" i="1" s="1"/>
  <c r="D42" i="1"/>
  <c r="L41" i="1" s="1"/>
  <c r="D43" i="1"/>
  <c r="L42" i="1" s="1"/>
  <c r="D44" i="1"/>
  <c r="L43" i="1" s="1"/>
  <c r="D45" i="1"/>
  <c r="L44" i="1" s="1"/>
  <c r="D46" i="1"/>
  <c r="L45" i="1" s="1"/>
  <c r="D41" i="1"/>
  <c r="L40" i="1" s="1"/>
  <c r="B26" i="1"/>
  <c r="J25" i="1" s="1"/>
  <c r="B27" i="1"/>
  <c r="J26" i="1" s="1"/>
  <c r="B28" i="1"/>
  <c r="J27" i="1" s="1"/>
  <c r="B29" i="1"/>
  <c r="J28" i="1" s="1"/>
  <c r="B30" i="1"/>
  <c r="J29" i="1" s="1"/>
  <c r="B25" i="1"/>
  <c r="J24" i="1" s="1"/>
  <c r="D26" i="1"/>
  <c r="L25" i="1" s="1"/>
  <c r="D27" i="1"/>
  <c r="L26" i="1" s="1"/>
  <c r="D28" i="1"/>
  <c r="L27" i="1" s="1"/>
  <c r="D29" i="1"/>
  <c r="L28" i="1" s="1"/>
  <c r="D30" i="1"/>
  <c r="L29" i="1" s="1"/>
  <c r="D25" i="1"/>
  <c r="L24" i="1" s="1"/>
  <c r="B10" i="1"/>
  <c r="C10" i="1" s="1"/>
  <c r="B11" i="1" s="1"/>
  <c r="B7" i="2" s="1"/>
  <c r="B35" i="5"/>
  <c r="B1" i="1" s="1"/>
  <c r="A8" i="1" s="1"/>
  <c r="C51" i="1"/>
  <c r="C50" i="1"/>
  <c r="C42" i="1"/>
  <c r="K41" i="1" s="1"/>
  <c r="C43" i="1"/>
  <c r="C44" i="1"/>
  <c r="K43" i="1" s="1"/>
  <c r="C45" i="1"/>
  <c r="C46" i="1"/>
  <c r="K45" i="1" s="1"/>
  <c r="C41" i="1"/>
  <c r="C26" i="1"/>
  <c r="K25" i="1" s="1"/>
  <c r="C27" i="1"/>
  <c r="C28" i="1"/>
  <c r="K27" i="1" s="1"/>
  <c r="C29" i="1"/>
  <c r="C30" i="1"/>
  <c r="K29" i="1" s="1"/>
  <c r="C25" i="1"/>
  <c r="K24" i="1" s="1"/>
  <c r="K33" i="1"/>
  <c r="K34" i="1"/>
  <c r="J31" i="1"/>
  <c r="J32" i="1"/>
  <c r="J33" i="1"/>
  <c r="J34" i="1"/>
  <c r="K31" i="1"/>
  <c r="K32" i="1"/>
  <c r="E31" i="1"/>
  <c r="L31" i="1"/>
  <c r="L32" i="1"/>
  <c r="L33" i="1"/>
  <c r="L34" i="1"/>
  <c r="J35" i="1"/>
  <c r="K35" i="1"/>
  <c r="L35" i="1"/>
  <c r="E35" i="1"/>
  <c r="F35" i="1"/>
  <c r="E34" i="1"/>
  <c r="F34" i="1" s="1"/>
  <c r="E33" i="1"/>
  <c r="F33" i="1"/>
  <c r="E32" i="1"/>
  <c r="F32" i="1" s="1"/>
  <c r="E36" i="1"/>
  <c r="F36" i="1" s="1"/>
  <c r="E67" i="1"/>
  <c r="F67" i="1"/>
  <c r="B68" i="1" l="1"/>
  <c r="E26" i="1"/>
  <c r="F26" i="1" s="1"/>
  <c r="E50" i="1"/>
  <c r="F50" i="1" s="1"/>
  <c r="G50" i="1" s="1"/>
  <c r="B13" i="1"/>
  <c r="E28" i="1"/>
  <c r="F28" i="1" s="1"/>
  <c r="E46" i="1"/>
  <c r="F46" i="1" s="1"/>
  <c r="E30" i="1"/>
  <c r="F30" i="1" s="1"/>
  <c r="E42" i="1"/>
  <c r="F42" i="1" s="1"/>
  <c r="E44" i="1"/>
  <c r="F44" i="1" s="1"/>
  <c r="E51" i="1"/>
  <c r="F51" i="1" s="1"/>
  <c r="G51" i="1" s="1"/>
  <c r="K40" i="1"/>
  <c r="E41" i="1"/>
  <c r="F41" i="1" s="1"/>
  <c r="J36" i="1"/>
  <c r="J37" i="1" s="1"/>
  <c r="J48" i="1"/>
  <c r="K39" i="1" s="1"/>
  <c r="B8" i="1"/>
  <c r="B6" i="2" s="1"/>
  <c r="K26" i="1"/>
  <c r="E27" i="1"/>
  <c r="F27" i="1" s="1"/>
  <c r="K28" i="1"/>
  <c r="E29" i="1"/>
  <c r="F29" i="1" s="1"/>
  <c r="K42" i="1"/>
  <c r="E43" i="1"/>
  <c r="F43" i="1" s="1"/>
  <c r="E25" i="1"/>
  <c r="F25" i="1" s="1"/>
  <c r="J38" i="1"/>
  <c r="K23" i="1" s="1"/>
  <c r="J46" i="1"/>
  <c r="J47" i="1" s="1"/>
  <c r="K44" i="1"/>
  <c r="E45" i="1"/>
  <c r="F45" i="1" s="1"/>
  <c r="G52" i="1" l="1"/>
  <c r="J52" i="1" s="1"/>
  <c r="A20" i="1"/>
  <c r="B20" i="1"/>
  <c r="B8" i="2" s="1"/>
  <c r="F37" i="1"/>
  <c r="B9" i="2" s="1"/>
  <c r="K46" i="1"/>
  <c r="K47" i="1" s="1"/>
  <c r="K48" i="1"/>
  <c r="L39" i="1" s="1"/>
  <c r="L47" i="1" s="1"/>
  <c r="I47" i="5" s="1"/>
  <c r="B47" i="5"/>
  <c r="B37" i="1"/>
  <c r="G47" i="5"/>
  <c r="B47" i="1"/>
  <c r="F47" i="1"/>
  <c r="B10" i="2" s="1"/>
  <c r="K36" i="1"/>
  <c r="K37" i="1" s="1"/>
  <c r="K38" i="1"/>
  <c r="L23" i="1" s="1"/>
  <c r="L37" i="1" s="1"/>
  <c r="B11" i="2" l="1"/>
  <c r="E14" i="2" s="1"/>
  <c r="D47" i="5"/>
  <c r="D37" i="1"/>
  <c r="H47" i="5"/>
  <c r="C47" i="1"/>
  <c r="C37" i="1"/>
  <c r="C47" i="5"/>
  <c r="D47" i="1"/>
  <c r="B12" i="2" l="1"/>
  <c r="H50" i="1"/>
  <c r="H51" i="1"/>
  <c r="I51" i="1" l="1"/>
  <c r="B14" i="2" s="1"/>
  <c r="I50" i="1"/>
  <c r="I52" i="1" l="1"/>
  <c r="B13" i="2"/>
  <c r="C14" i="2" s="1"/>
  <c r="D14" i="2" s="1"/>
  <c r="B15" i="2" s="1"/>
  <c r="B16" i="2" s="1"/>
  <c r="B17" i="2" s="1"/>
  <c r="B12" i="7" s="1"/>
  <c r="B14" i="7" s="1"/>
  <c r="G6" i="8" s="1"/>
  <c r="B29" i="8" l="1"/>
  <c r="B31" i="8" s="1"/>
  <c r="G20" i="8"/>
  <c r="B17" i="7"/>
  <c r="B18" i="7" s="1"/>
  <c r="G17" i="8" s="1"/>
  <c r="G21" i="8"/>
  <c r="B5" i="7"/>
  <c r="B7" i="7" s="1"/>
  <c r="G22" i="8" s="1"/>
  <c r="G20" i="5" l="1"/>
  <c r="G26" i="5" s="1"/>
  <c r="G27" i="5" s="1"/>
  <c r="G28" i="5" s="1"/>
  <c r="G23" i="8"/>
  <c r="B26" i="8" s="1"/>
  <c r="B32" i="8" l="1"/>
  <c r="B33" i="8" s="1"/>
  <c r="B34" i="8" s="1"/>
  <c r="H4" i="8" s="1"/>
  <c r="B28" i="8"/>
  <c r="B8" i="7"/>
  <c r="B9" i="7" s="1"/>
  <c r="B10" i="7" s="1"/>
  <c r="B11" i="7" s="1"/>
</calcChain>
</file>

<file path=xl/comments1.xml><?xml version="1.0" encoding="utf-8"?>
<comments xmlns="http://schemas.openxmlformats.org/spreadsheetml/2006/main">
  <authors>
    <author>Naseer</author>
    <author>S.mohri</author>
  </authors>
  <commentList>
    <comment ref="C34" authorId="0" shapeId="0">
      <text>
        <r>
          <rPr>
            <b/>
            <sz val="9"/>
            <color indexed="81"/>
            <rFont val="Tahoma"/>
            <family val="2"/>
          </rPr>
          <t xml:space="preserve">
آخرین مدرک تحصیلی که در حکم سال 1399 اعمال گردیده را انتخاب نمایید
</t>
        </r>
      </text>
    </comment>
    <comment ref="F34" authorId="0" shapeId="0">
      <text>
        <r>
          <rPr>
            <b/>
            <sz val="9"/>
            <color indexed="81"/>
            <rFont val="Tahoma"/>
            <family val="2"/>
          </rPr>
          <t xml:space="preserve">مدت خدمت در پست های سرپرستی و مدیریتی را محاسبه و به تفکیک روز /ماه / سال وارد نمایید
</t>
        </r>
      </text>
    </comment>
    <comment ref="C36" authorId="1" shapeId="0">
      <text>
        <r>
          <rPr>
            <b/>
            <sz val="9"/>
            <color indexed="81"/>
            <rFont val="Tahoma"/>
            <family val="2"/>
          </rPr>
          <t>حداکثر میزان ساعات آموزشی 1000 ساعت می باشد. بیشتر از این ساعت در امتیاز حق شاغل تاثیری ندارد.</t>
        </r>
      </text>
    </comment>
    <comment ref="A39" authorId="0" shapeId="0">
      <text>
        <r>
          <rPr>
            <b/>
            <sz val="9"/>
            <color indexed="81"/>
            <rFont val="Tahoma"/>
            <family val="2"/>
          </rPr>
          <t>حداکثر جمع مدت سابقه دولتی قابل قبول 35 سال می باشد
لطفا از درج مدت بیش از 35 سال خودداری نمایید
* مدت خدمت وظیفه عمومی جزو سنوات دولتی قابل احتساب می باشد</t>
        </r>
      </text>
    </comment>
    <comment ref="F39" authorId="0" shapeId="0">
      <text>
        <r>
          <rPr>
            <b/>
            <sz val="9"/>
            <color indexed="81"/>
            <rFont val="Tahoma"/>
            <family val="2"/>
          </rPr>
          <t>حداکثر جمع مدت تجربه قابل احتساب 35 سال می باشد
لطفا از درج مدت بیش از 35 سال خودداری نمایید</t>
        </r>
      </text>
    </comment>
  </commentList>
</comments>
</file>

<file path=xl/sharedStrings.xml><?xml version="1.0" encoding="utf-8"?>
<sst xmlns="http://schemas.openxmlformats.org/spreadsheetml/2006/main" count="237" uniqueCount="129">
  <si>
    <t>تحصيلات</t>
  </si>
  <si>
    <t>زير ديپلم</t>
  </si>
  <si>
    <t>ديپلم</t>
  </si>
  <si>
    <t>فوق ديپلم</t>
  </si>
  <si>
    <t>ليسانس</t>
  </si>
  <si>
    <t>فوق ليسانس</t>
  </si>
  <si>
    <t>دكتري</t>
  </si>
  <si>
    <t>امتياز حق شاغل</t>
  </si>
  <si>
    <t>دوره هاي آموزشي</t>
  </si>
  <si>
    <t>امتياز مهارت و توانايي</t>
  </si>
  <si>
    <t>سنوات خدمت</t>
  </si>
  <si>
    <t>روز</t>
  </si>
  <si>
    <t>ماه</t>
  </si>
  <si>
    <t>سال</t>
  </si>
  <si>
    <t>سنوات به روز</t>
  </si>
  <si>
    <t>امتياز تجربه</t>
  </si>
  <si>
    <t>تجربه به روز</t>
  </si>
  <si>
    <t>سربازي</t>
  </si>
  <si>
    <t>امتياز سرپرستي</t>
  </si>
  <si>
    <t>سرپرستي</t>
  </si>
  <si>
    <t>مديريتي</t>
  </si>
  <si>
    <t>امتياز به روز</t>
  </si>
  <si>
    <t>فوق العاده مديريت</t>
  </si>
  <si>
    <t>حق شغل</t>
  </si>
  <si>
    <t>امتياز ايثارگري</t>
  </si>
  <si>
    <t>جانبازي</t>
  </si>
  <si>
    <t>بالاتر از 60</t>
  </si>
  <si>
    <t>جبه</t>
  </si>
  <si>
    <t>امتياز</t>
  </si>
  <si>
    <t>بالاترين امتياز</t>
  </si>
  <si>
    <t>3تا6</t>
  </si>
  <si>
    <t>6تا12</t>
  </si>
  <si>
    <t>12تا18</t>
  </si>
  <si>
    <t>18تا24</t>
  </si>
  <si>
    <t>24تا30</t>
  </si>
  <si>
    <t>30تا36</t>
  </si>
  <si>
    <t>36تا42</t>
  </si>
  <si>
    <t>42تا48</t>
  </si>
  <si>
    <t>48تا54</t>
  </si>
  <si>
    <t>54تا60</t>
  </si>
  <si>
    <t>60تا70</t>
  </si>
  <si>
    <t>70 به بالا</t>
  </si>
  <si>
    <t>مجموع امتياز سرپرستي و مديريت</t>
  </si>
  <si>
    <t>حق شاغل+امتيازم وس</t>
  </si>
  <si>
    <t>درصد جانبازي</t>
  </si>
  <si>
    <t xml:space="preserve">25درصدامتياز </t>
  </si>
  <si>
    <t>مدت خدمت جبهه</t>
  </si>
  <si>
    <t>كد را وارد كنيد</t>
  </si>
  <si>
    <t>جمع سنوات</t>
  </si>
  <si>
    <t>جمع تجربه</t>
  </si>
  <si>
    <t>میزان ساعات دوره هاي آموزشي</t>
  </si>
  <si>
    <t>مدت سوابق خدمت دولتی قابل قبول به تفکیک مدرک تحصیلی</t>
  </si>
  <si>
    <t>مدت تجربه مربوط و مشابه قابل قبول در دستگاه به تفکیک مدرک تحصیلی</t>
  </si>
  <si>
    <t xml:space="preserve">میزان ضریب افزایش حقوق در دستگاه </t>
  </si>
  <si>
    <t>عنوان</t>
  </si>
  <si>
    <t xml:space="preserve">فوق العاده مدیریت </t>
  </si>
  <si>
    <t>تفاوت تطبیق</t>
  </si>
  <si>
    <t>فوق العاده شغل</t>
  </si>
  <si>
    <t>فوق العاده ویژه</t>
  </si>
  <si>
    <t>فوق العاده ایثارگری</t>
  </si>
  <si>
    <t>فوق العاده ایثارگری موضوع ماده 51 قانون جامع</t>
  </si>
  <si>
    <t>فوق العاده سختی کار</t>
  </si>
  <si>
    <t>کمک هزینه عائله مندی</t>
  </si>
  <si>
    <t>کمک هزینه اولاد</t>
  </si>
  <si>
    <t>فوق العاده بدی آب و هوا</t>
  </si>
  <si>
    <t>فوق العاده مناطق کمتر توسعه یافته</t>
  </si>
  <si>
    <t>جمع نهایی مبالغ حکم کارگزینی</t>
  </si>
  <si>
    <t>فوق العاده نشان های دولتی</t>
  </si>
  <si>
    <t>فوق العاده خدمت در مناطق جنگ زده</t>
  </si>
  <si>
    <t xml:space="preserve">حق شاغل </t>
  </si>
  <si>
    <t xml:space="preserve">مدت </t>
  </si>
  <si>
    <t>تاریخ انتها</t>
  </si>
  <si>
    <t>تاریخ ابتدا</t>
  </si>
  <si>
    <t xml:space="preserve">آخرین مدرک تحصیلی اعمال شده </t>
  </si>
  <si>
    <t>سایر-جز ب بند 11 قانون بودجه سال 1388</t>
  </si>
  <si>
    <t>شاغل با 75 درصد</t>
  </si>
  <si>
    <t>امتیاز حق شاغل با ضریب</t>
  </si>
  <si>
    <t>ضریب</t>
  </si>
  <si>
    <t>جهت محاسبه مدت بین دو تاریخ از جدول ذیل استفاده نمایید</t>
  </si>
  <si>
    <t>حداقل دریافتی</t>
  </si>
  <si>
    <t>امتیاز سنوات خدمت</t>
  </si>
  <si>
    <t>https://shenasname.ir</t>
  </si>
  <si>
    <t>75درصد حق شغل و مدیریت</t>
  </si>
  <si>
    <t>امتياز منظور شده مدیریت</t>
  </si>
  <si>
    <t>حداقل امتیاز حق شاغل بدون هیچ افزایشی</t>
  </si>
  <si>
    <t>درصد فوق العاده ویژه 97</t>
  </si>
  <si>
    <t>میزان افزایش سال 98</t>
  </si>
  <si>
    <t>چک کردن 440 هزار تومان افزایش</t>
  </si>
  <si>
    <t>اضافه نمودن مبلغ بیش از 440 هزار و عدد نهایی حداقل دریافتی</t>
  </si>
  <si>
    <t>تفاوت بند (ی) تبصره 12 قانون بودجه سال 98</t>
  </si>
  <si>
    <t>تفاوت جزء (1) بند الف تبصره 12 قانون بودجه سال 97</t>
  </si>
  <si>
    <t>مبلغ سال 99</t>
  </si>
  <si>
    <t>حقوق ثابت</t>
  </si>
  <si>
    <t>جمع حقوق و مزایای مستمر سال 99</t>
  </si>
  <si>
    <t>عدد نهایی حداقل دریافتی سال 99</t>
  </si>
  <si>
    <t>ضریب سال 99</t>
  </si>
  <si>
    <r>
      <t xml:space="preserve">در صورتیکه تمایل دارید امتیاز حق شاغل شما بصورت دقیق محاسبه گردد لازم است نسبت به تکمیل خانه های </t>
    </r>
    <r>
      <rPr>
        <u/>
        <sz val="10"/>
        <rFont val="B Koodak"/>
        <charset val="178"/>
      </rPr>
      <t>زرد رنگ</t>
    </r>
    <r>
      <rPr>
        <sz val="10"/>
        <rFont val="B Koodak"/>
        <charset val="178"/>
      </rPr>
      <t xml:space="preserve"> ذیل و درج اطلاعات شغلی  (مدرک تحصیلی ، دوره های آموزشی ، مدت سوابق خدمت دولتی به تفکیک مدرک تحصیلی ، مدت تجربه مربوط و مشابه به تفکیک مدرک تحصیلی ، مدت خدمت در پست های سرپرستی و مدیریتی ) اقدام نمایید. در صورتیکه به هر دلیلی تمایل به تکمیل خانه های سبز رنگ و جداول یاد شده ندارید ، سیستم مبلغ حق شاغل شما در سال 99 را حدودی محاسبه خواهد نمود که عدد مذکور کمتر از عدد واقعی ولی نزدیک به آن خواهد بود.</t>
    </r>
  </si>
  <si>
    <t>امتیاز - سال 99</t>
  </si>
  <si>
    <t>مبلغ سال 1400</t>
  </si>
  <si>
    <t>مدت خدمت در پست های سرپرستی و مدیریتی تا تاریخ 1400/1/1</t>
  </si>
  <si>
    <r>
      <t xml:space="preserve">
</t>
    </r>
    <r>
      <rPr>
        <sz val="8"/>
        <color indexed="36"/>
        <rFont val="B Koodak"/>
        <charset val="178"/>
      </rPr>
      <t/>
    </r>
  </si>
  <si>
    <t>جمع تجربه تا تاریخ 1400/1/1</t>
  </si>
  <si>
    <t>جمع سنوات تا تاریخ 1400/1/1</t>
  </si>
  <si>
    <t>ضریب سال 1400</t>
  </si>
  <si>
    <t>ضریب 1399</t>
  </si>
  <si>
    <t>حقوق و مزایای مشمول کسور سال 99</t>
  </si>
  <si>
    <t>حق شاغل 1400 محاسبه سیستم</t>
  </si>
  <si>
    <t>ویژه 1400</t>
  </si>
  <si>
    <t>حداقل حقوق سال 1400</t>
  </si>
  <si>
    <t xml:space="preserve">حداقل دریافتی سال 1400 با محاسبه حداقل حقوق </t>
  </si>
  <si>
    <t>حق شاغل اعمال شده در فایل 1400</t>
  </si>
  <si>
    <t>مشمول کسور سال 1400</t>
  </si>
  <si>
    <t>میزان افزایش حکم 1400</t>
  </si>
  <si>
    <t>حداکثر افزایش 1400</t>
  </si>
  <si>
    <t>مجموع اقلام دارای امتیاز</t>
  </si>
  <si>
    <t>مجموع امتیاز</t>
  </si>
  <si>
    <t>میزان افزایش بالاتر از 25000000</t>
  </si>
  <si>
    <t>مشمول کاهش امتیاز ضریب؟</t>
  </si>
  <si>
    <t>سایر</t>
  </si>
  <si>
    <t>توجه : لطفا با توجه به آخرین حکم کارگزینی سال 99  ، فقط اطلاعات در خانه های زرد رنگ وارد شود.</t>
  </si>
  <si>
    <t>بدیهی است با اعلام ضریب حقوق کارکنان دولت در سالجاری ، حقوق و مزایای کارکنان قرارداد انجام کارمعین مجددا بررسی و افزایش خواهد یافت</t>
  </si>
  <si>
    <t>میزان افزایش ( کاهش)</t>
  </si>
  <si>
    <t>درصد افزایش ( کاهش)</t>
  </si>
  <si>
    <r>
      <t xml:space="preserve">20درصد </t>
    </r>
    <r>
      <rPr>
        <sz val="9"/>
        <color theme="0"/>
        <rFont val="Arial"/>
        <family val="2"/>
      </rPr>
      <t>75درصد</t>
    </r>
  </si>
  <si>
    <r>
      <t xml:space="preserve">حق شاغل </t>
    </r>
    <r>
      <rPr>
        <sz val="9"/>
        <color theme="0"/>
        <rFont val="Arial"/>
        <family val="2"/>
      </rPr>
      <t>بعدازمقايسه75</t>
    </r>
  </si>
  <si>
    <t>ارتباط با اینجانب ازطریق ایمیل</t>
  </si>
  <si>
    <t xml:space="preserve">تهیه و تنظیم : ناصر مه آبادی کارشناس مسئول منابع انسانی سازمان ثبت احوال کشور </t>
  </si>
  <si>
    <t>telegram.me/NaserMahabadi</t>
  </si>
  <si>
    <t>جمع نهایی مبالغ مندرج در قرارداد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</si>
</sst>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  <numFmt numFmtId="166" formatCode="_-* #,##0_-;_-* #,##0\-;_-* &quot;-&quot;??_-;_-@_-"/>
    <numFmt numFmtId="167" formatCode="_-&quot;ريال&quot;* #,##0_-;_-&quot;ريال&quot;* #,##0\-;_-&quot;ريال&quot;* &quot;-&quot;??_-;_-@_-"/>
    <numFmt numFmtId="168" formatCode="_-* #,##0.000000_-;_-* #,##0.000000\-;_-* &quot;-&quot;??_-;_-@_-"/>
    <numFmt numFmtId="169" formatCode="0.000000"/>
  </numFmts>
  <fonts count="43" x14ac:knownFonts="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sz val="10"/>
      <name val="B Koodak"/>
      <charset val="178"/>
    </font>
    <font>
      <b/>
      <sz val="9"/>
      <color indexed="81"/>
      <name val="Tahoma"/>
      <family val="2"/>
    </font>
    <font>
      <b/>
      <sz val="10"/>
      <name val="B Koodak"/>
      <charset val="178"/>
    </font>
    <font>
      <sz val="12"/>
      <name val="B Koodak"/>
      <charset val="178"/>
    </font>
    <font>
      <sz val="8"/>
      <color indexed="36"/>
      <name val="B Koodak"/>
      <charset val="178"/>
    </font>
    <font>
      <u/>
      <sz val="10"/>
      <color theme="10"/>
      <name val="Arial"/>
      <family val="2"/>
    </font>
    <font>
      <sz val="12"/>
      <color theme="1"/>
      <name val="B Koodak"/>
      <charset val="178"/>
    </font>
    <font>
      <sz val="12"/>
      <color theme="0"/>
      <name val="B Koodak"/>
      <charset val="178"/>
    </font>
    <font>
      <sz val="12"/>
      <color rgb="FFFF0000"/>
      <name val="B Koodak"/>
      <charset val="178"/>
    </font>
    <font>
      <u/>
      <sz val="10"/>
      <name val="B Koodak"/>
      <charset val="178"/>
    </font>
    <font>
      <sz val="11"/>
      <color theme="1"/>
      <name val="B Koodak"/>
      <charset val="178"/>
    </font>
    <font>
      <sz val="11"/>
      <name val="B Koodak"/>
      <charset val="178"/>
    </font>
    <font>
      <sz val="10"/>
      <color theme="1"/>
      <name val="B Koodak"/>
      <charset val="178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10"/>
      <color rgb="FFFF0000"/>
      <name val="B Koodak"/>
      <charset val="178"/>
    </font>
    <font>
      <sz val="9"/>
      <name val="B Koodak"/>
      <charset val="178"/>
    </font>
    <font>
      <sz val="9"/>
      <color theme="4" tint="0.79998168889431442"/>
      <name val="B Koodak"/>
      <charset val="178"/>
    </font>
    <font>
      <u/>
      <sz val="8"/>
      <color theme="4" tint="0.79998168889431442"/>
      <name val="Arial"/>
      <family val="2"/>
    </font>
    <font>
      <b/>
      <sz val="12"/>
      <color theme="4" tint="0.79998168889431442"/>
      <name val="B Koodak"/>
      <charset val="178"/>
    </font>
    <font>
      <sz val="10"/>
      <color theme="4" tint="0.79998168889431442"/>
      <name val="B Koodak"/>
      <charset val="178"/>
    </font>
    <font>
      <sz val="12"/>
      <color theme="4" tint="0.79998168889431442"/>
      <name val="B Koodak"/>
      <charset val="178"/>
    </font>
    <font>
      <b/>
      <sz val="10"/>
      <color theme="4" tint="0.79998168889431442"/>
      <name val="B Koodak"/>
      <charset val="178"/>
    </font>
    <font>
      <sz val="11"/>
      <color theme="4" tint="0.79998168889431442"/>
      <name val="B Koodak"/>
      <charset val="178"/>
    </font>
    <font>
      <sz val="8"/>
      <color theme="4" tint="0.79998168889431442"/>
      <name val="B Koodak"/>
      <charset val="178"/>
    </font>
    <font>
      <sz val="10"/>
      <color theme="0"/>
      <name val="B Koodak"/>
      <charset val="178"/>
    </font>
    <font>
      <b/>
      <sz val="9"/>
      <color theme="4" tint="0.79998168889431442"/>
      <name val="B Koodak"/>
      <charset val="178"/>
    </font>
    <font>
      <sz val="10"/>
      <color theme="0"/>
      <name val="Arial"/>
      <family val="2"/>
    </font>
    <font>
      <b/>
      <sz val="12"/>
      <color theme="0"/>
      <name val="B Koodak"/>
      <charset val="178"/>
    </font>
    <font>
      <sz val="11"/>
      <color theme="0"/>
      <name val="B Koodak"/>
      <charset val="178"/>
    </font>
    <font>
      <sz val="10"/>
      <color theme="0"/>
      <name val="B Yekan"/>
      <charset val="178"/>
    </font>
    <font>
      <sz val="9"/>
      <color theme="0"/>
      <name val="Arial"/>
      <family val="2"/>
    </font>
    <font>
      <sz val="8"/>
      <color theme="0"/>
      <name val="Arial"/>
      <family val="2"/>
    </font>
    <font>
      <b/>
      <sz val="10"/>
      <color theme="0"/>
      <name val="Arial"/>
      <family val="2"/>
    </font>
    <font>
      <u/>
      <sz val="10"/>
      <color theme="8" tint="0.79998168889431442"/>
      <name val="B Koodak"/>
      <charset val="178"/>
    </font>
    <font>
      <sz val="9"/>
      <color theme="8" tint="0.79998168889431442"/>
      <name val="B Koodak"/>
      <charset val="178"/>
    </font>
    <font>
      <u/>
      <sz val="10"/>
      <color theme="8" tint="0.7999816888943144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7" tint="-0.249977111117893"/>
      </left>
      <right style="thin">
        <color theme="7" tint="-0.249977111117893"/>
      </right>
      <top style="thin">
        <color theme="7" tint="-0.249977111117893"/>
      </top>
      <bottom style="thin">
        <color theme="7" tint="-0.249977111117893"/>
      </bottom>
      <diagonal/>
    </border>
    <border>
      <left style="thin">
        <color theme="7" tint="-0.249977111117893"/>
      </left>
      <right/>
      <top style="thin">
        <color theme="7" tint="-0.249977111117893"/>
      </top>
      <bottom style="thin">
        <color theme="7" tint="-0.249977111117893"/>
      </bottom>
      <diagonal/>
    </border>
    <border>
      <left/>
      <right style="thin">
        <color theme="7" tint="-0.249977111117893"/>
      </right>
      <top style="thin">
        <color theme="7" tint="-0.249977111117893"/>
      </top>
      <bottom style="thin">
        <color theme="7" tint="-0.249977111117893"/>
      </bottom>
      <diagonal/>
    </border>
    <border>
      <left style="thin">
        <color theme="7" tint="-0.249977111117893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7" tint="-0.249977111117893"/>
      </top>
      <bottom style="thin">
        <color theme="7" tint="-0.249977111117893"/>
      </bottom>
      <diagonal/>
    </border>
    <border>
      <left style="thin">
        <color theme="7" tint="-0.249977111117893"/>
      </left>
      <right style="thin">
        <color theme="7" tint="-0.249977111117893"/>
      </right>
      <top style="thin">
        <color theme="7" tint="-0.249977111117893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34">
    <xf numFmtId="0" fontId="0" fillId="0" borderId="0" xfId="0"/>
    <xf numFmtId="0" fontId="9" fillId="0" borderId="0" xfId="0" applyFont="1" applyProtection="1">
      <protection hidden="1"/>
    </xf>
    <xf numFmtId="0" fontId="9" fillId="6" borderId="0" xfId="0" applyFont="1" applyFill="1" applyProtection="1">
      <protection hidden="1"/>
    </xf>
    <xf numFmtId="0" fontId="9" fillId="3" borderId="0" xfId="0" applyFont="1" applyFill="1" applyProtection="1">
      <protection hidden="1"/>
    </xf>
    <xf numFmtId="0" fontId="0" fillId="0" borderId="0" xfId="0" applyProtection="1">
      <protection hidden="1"/>
    </xf>
    <xf numFmtId="165" fontId="0" fillId="0" borderId="0" xfId="0" applyNumberFormat="1" applyProtection="1">
      <protection hidden="1"/>
    </xf>
    <xf numFmtId="0" fontId="3" fillId="3" borderId="0" xfId="0" applyFont="1" applyFill="1" applyBorder="1" applyProtection="1">
      <protection hidden="1"/>
    </xf>
    <xf numFmtId="1" fontId="3" fillId="3" borderId="0" xfId="0" applyNumberFormat="1" applyFont="1" applyFill="1" applyBorder="1" applyProtection="1">
      <protection hidden="1"/>
    </xf>
    <xf numFmtId="0" fontId="9" fillId="3" borderId="0" xfId="0" applyFont="1" applyFill="1" applyBorder="1" applyAlignment="1" applyProtection="1">
      <alignment horizontal="center"/>
      <protection hidden="1"/>
    </xf>
    <xf numFmtId="166" fontId="9" fillId="3" borderId="0" xfId="1" applyNumberFormat="1" applyFont="1" applyFill="1" applyBorder="1" applyAlignment="1" applyProtection="1">
      <alignment vertical="center"/>
      <protection hidden="1"/>
    </xf>
    <xf numFmtId="0" fontId="0" fillId="3" borderId="0" xfId="0" applyFill="1" applyProtection="1">
      <protection hidden="1"/>
    </xf>
    <xf numFmtId="0" fontId="5" fillId="3" borderId="0" xfId="0" applyFont="1" applyFill="1" applyBorder="1" applyProtection="1">
      <protection hidden="1"/>
    </xf>
    <xf numFmtId="165" fontId="10" fillId="3" borderId="0" xfId="1" applyNumberFormat="1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Protection="1"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1" fontId="3" fillId="3" borderId="0" xfId="0" applyNumberFormat="1" applyFont="1" applyFill="1" applyBorder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center"/>
      <protection hidden="1"/>
    </xf>
    <xf numFmtId="1" fontId="3" fillId="3" borderId="0" xfId="0" applyNumberFormat="1" applyFont="1" applyFill="1" applyProtection="1">
      <protection hidden="1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16" fillId="3" borderId="0" xfId="0" applyFont="1" applyFill="1" applyBorder="1" applyProtection="1">
      <protection hidden="1"/>
    </xf>
    <xf numFmtId="0" fontId="17" fillId="3" borderId="0" xfId="0" applyFont="1" applyFill="1" applyBorder="1" applyProtection="1">
      <protection hidden="1"/>
    </xf>
    <xf numFmtId="0" fontId="17" fillId="3" borderId="0" xfId="0" applyFont="1" applyFill="1" applyBorder="1" applyAlignment="1" applyProtection="1">
      <alignment horizontal="center" vertical="center"/>
      <protection hidden="1"/>
    </xf>
    <xf numFmtId="0" fontId="18" fillId="3" borderId="0" xfId="0" applyFont="1" applyFill="1" applyBorder="1" applyAlignment="1" applyProtection="1">
      <alignment horizontal="center"/>
      <protection hidden="1"/>
    </xf>
    <xf numFmtId="1" fontId="16" fillId="3" borderId="0" xfId="0" applyNumberFormat="1" applyFont="1" applyFill="1" applyBorder="1" applyProtection="1">
      <protection hidden="1"/>
    </xf>
    <xf numFmtId="0" fontId="11" fillId="3" borderId="0" xfId="0" applyFont="1" applyFill="1" applyBorder="1" applyProtection="1">
      <protection hidden="1"/>
    </xf>
    <xf numFmtId="1" fontId="17" fillId="3" borderId="0" xfId="0" applyNumberFormat="1" applyFont="1" applyFill="1" applyBorder="1" applyProtection="1">
      <protection hidden="1"/>
    </xf>
    <xf numFmtId="0" fontId="17" fillId="3" borderId="0" xfId="0" applyFont="1" applyFill="1" applyBorder="1" applyAlignment="1" applyProtection="1">
      <alignment horizontal="center"/>
      <protection hidden="1"/>
    </xf>
    <xf numFmtId="1" fontId="17" fillId="3" borderId="0" xfId="0" applyNumberFormat="1" applyFont="1" applyFill="1" applyBorder="1" applyAlignment="1" applyProtection="1">
      <alignment horizontal="center"/>
      <protection hidden="1"/>
    </xf>
    <xf numFmtId="0" fontId="17" fillId="3" borderId="0" xfId="0" applyFont="1" applyFill="1" applyBorder="1" applyAlignment="1" applyProtection="1">
      <protection hidden="1"/>
    </xf>
    <xf numFmtId="166" fontId="17" fillId="3" borderId="0" xfId="1" applyNumberFormat="1" applyFont="1" applyFill="1" applyBorder="1" applyProtection="1">
      <protection hidden="1"/>
    </xf>
    <xf numFmtId="165" fontId="17" fillId="3" borderId="0" xfId="1" applyNumberFormat="1" applyFont="1" applyFill="1" applyBorder="1" applyProtection="1">
      <protection hidden="1"/>
    </xf>
    <xf numFmtId="168" fontId="17" fillId="3" borderId="0" xfId="1" applyNumberFormat="1" applyFont="1" applyFill="1" applyBorder="1" applyProtection="1">
      <protection hidden="1"/>
    </xf>
    <xf numFmtId="169" fontId="17" fillId="3" borderId="0" xfId="0" applyNumberFormat="1" applyFont="1" applyFill="1" applyBorder="1" applyProtection="1">
      <protection hidden="1"/>
    </xf>
    <xf numFmtId="166" fontId="17" fillId="3" borderId="0" xfId="0" applyNumberFormat="1" applyFont="1" applyFill="1" applyBorder="1" applyProtection="1">
      <protection hidden="1"/>
    </xf>
    <xf numFmtId="43" fontId="17" fillId="3" borderId="0" xfId="0" applyNumberFormat="1" applyFont="1" applyFill="1" applyBorder="1" applyProtection="1">
      <protection hidden="1"/>
    </xf>
    <xf numFmtId="0" fontId="19" fillId="3" borderId="0" xfId="0" applyFont="1" applyFill="1" applyBorder="1" applyProtection="1">
      <protection hidden="1"/>
    </xf>
    <xf numFmtId="0" fontId="20" fillId="3" borderId="0" xfId="0" applyFont="1" applyFill="1" applyBorder="1" applyProtection="1">
      <protection hidden="1"/>
    </xf>
    <xf numFmtId="0" fontId="17" fillId="0" borderId="0" xfId="0" applyFont="1" applyProtection="1">
      <protection hidden="1"/>
    </xf>
    <xf numFmtId="10" fontId="17" fillId="0" borderId="0" xfId="3" applyNumberFormat="1" applyFont="1" applyProtection="1">
      <protection hidden="1"/>
    </xf>
    <xf numFmtId="166" fontId="17" fillId="0" borderId="0" xfId="1" applyNumberFormat="1" applyFont="1" applyProtection="1">
      <protection hidden="1"/>
    </xf>
    <xf numFmtId="0" fontId="21" fillId="3" borderId="0" xfId="0" applyFont="1" applyFill="1" applyBorder="1" applyAlignment="1" applyProtection="1">
      <protection hidden="1"/>
    </xf>
    <xf numFmtId="0" fontId="6" fillId="4" borderId="1" xfId="0" applyFont="1" applyFill="1" applyBorder="1" applyProtection="1">
      <protection locked="0"/>
    </xf>
    <xf numFmtId="1" fontId="6" fillId="4" borderId="1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 applyProtection="1">
      <alignment horizontal="center"/>
      <protection locked="0"/>
    </xf>
    <xf numFmtId="1" fontId="6" fillId="4" borderId="1" xfId="0" applyNumberFormat="1" applyFont="1" applyFill="1" applyBorder="1" applyAlignment="1" applyProtection="1">
      <alignment horizontal="center"/>
      <protection locked="0"/>
    </xf>
    <xf numFmtId="0" fontId="24" fillId="8" borderId="9" xfId="2" applyFont="1" applyFill="1" applyBorder="1" applyAlignment="1" applyProtection="1">
      <alignment vertical="center" wrapText="1"/>
      <protection hidden="1"/>
    </xf>
    <xf numFmtId="0" fontId="28" fillId="7" borderId="1" xfId="0" applyFont="1" applyFill="1" applyBorder="1" applyAlignment="1" applyProtection="1">
      <alignment horizontal="center"/>
      <protection hidden="1"/>
    </xf>
    <xf numFmtId="0" fontId="27" fillId="7" borderId="1" xfId="0" applyFont="1" applyFill="1" applyBorder="1" applyAlignment="1" applyProtection="1">
      <alignment horizontal="center"/>
      <protection hidden="1"/>
    </xf>
    <xf numFmtId="0" fontId="28" fillId="7" borderId="1" xfId="0" applyFont="1" applyFill="1" applyBorder="1" applyAlignment="1" applyProtection="1">
      <alignment horizontal="center" vertical="center"/>
      <protection hidden="1"/>
    </xf>
    <xf numFmtId="0" fontId="26" fillId="7" borderId="1" xfId="0" applyFont="1" applyFill="1" applyBorder="1" applyAlignment="1" applyProtection="1">
      <alignment horizontal="center"/>
      <protection hidden="1"/>
    </xf>
    <xf numFmtId="0" fontId="26" fillId="7" borderId="1" xfId="0" applyFont="1" applyFill="1" applyBorder="1" applyAlignment="1" applyProtection="1">
      <alignment horizontal="center" vertical="center"/>
      <protection hidden="1"/>
    </xf>
    <xf numFmtId="1" fontId="27" fillId="7" borderId="1" xfId="0" applyNumberFormat="1" applyFont="1" applyFill="1" applyBorder="1" applyAlignment="1" applyProtection="1">
      <alignment horizontal="center"/>
      <protection hidden="1"/>
    </xf>
    <xf numFmtId="0" fontId="23" fillId="8" borderId="0" xfId="0" applyFont="1" applyFill="1" applyAlignment="1" applyProtection="1">
      <alignment vertical="top" wrapText="1"/>
      <protection hidden="1"/>
    </xf>
    <xf numFmtId="1" fontId="30" fillId="7" borderId="1" xfId="0" applyNumberFormat="1" applyFont="1" applyFill="1" applyBorder="1" applyAlignment="1" applyProtection="1">
      <alignment horizontal="center"/>
      <protection hidden="1"/>
    </xf>
    <xf numFmtId="0" fontId="31" fillId="3" borderId="0" xfId="0" applyFont="1" applyFill="1" applyBorder="1" applyProtection="1">
      <protection hidden="1"/>
    </xf>
    <xf numFmtId="1" fontId="32" fillId="7" borderId="1" xfId="0" applyNumberFormat="1" applyFont="1" applyFill="1" applyBorder="1" applyAlignment="1" applyProtection="1">
      <alignment horizontal="center"/>
      <protection hidden="1"/>
    </xf>
    <xf numFmtId="0" fontId="1" fillId="0" borderId="0" xfId="0" applyFont="1"/>
    <xf numFmtId="166" fontId="0" fillId="0" borderId="0" xfId="1" applyNumberFormat="1" applyFont="1"/>
    <xf numFmtId="165" fontId="25" fillId="7" borderId="14" xfId="1" applyNumberFormat="1" applyFont="1" applyFill="1" applyBorder="1" applyAlignment="1" applyProtection="1">
      <alignment horizontal="center" vertical="center"/>
      <protection hidden="1"/>
    </xf>
    <xf numFmtId="166" fontId="9" fillId="3" borderId="9" xfId="1" applyNumberFormat="1" applyFont="1" applyFill="1" applyBorder="1" applyAlignment="1" applyProtection="1">
      <alignment horizontal="center" vertical="center"/>
      <protection hidden="1"/>
    </xf>
    <xf numFmtId="165" fontId="9" fillId="3" borderId="9" xfId="1" applyNumberFormat="1" applyFont="1" applyFill="1" applyBorder="1" applyAlignment="1" applyProtection="1">
      <alignment horizontal="center" vertical="center"/>
      <protection hidden="1"/>
    </xf>
    <xf numFmtId="166" fontId="0" fillId="0" borderId="0" xfId="0" applyNumberFormat="1"/>
    <xf numFmtId="2" fontId="0" fillId="0" borderId="0" xfId="0" applyNumberFormat="1"/>
    <xf numFmtId="43" fontId="3" fillId="3" borderId="0" xfId="0" applyNumberFormat="1" applyFont="1" applyFill="1" applyBorder="1" applyProtection="1">
      <protection hidden="1"/>
    </xf>
    <xf numFmtId="165" fontId="34" fillId="3" borderId="0" xfId="1" applyNumberFormat="1" applyFont="1" applyFill="1" applyBorder="1" applyAlignment="1" applyProtection="1">
      <alignment vertical="center"/>
      <protection hidden="1"/>
    </xf>
    <xf numFmtId="166" fontId="34" fillId="3" borderId="0" xfId="1" applyNumberFormat="1" applyFont="1" applyFill="1" applyBorder="1" applyAlignment="1" applyProtection="1">
      <alignment horizontal="center" vertical="center"/>
      <protection hidden="1"/>
    </xf>
    <xf numFmtId="0" fontId="33" fillId="3" borderId="0" xfId="0" applyFont="1" applyFill="1" applyBorder="1" applyProtection="1">
      <protection hidden="1"/>
    </xf>
    <xf numFmtId="166" fontId="33" fillId="3" borderId="0" xfId="1" applyNumberFormat="1" applyFont="1" applyFill="1" applyBorder="1" applyProtection="1">
      <protection hidden="1"/>
    </xf>
    <xf numFmtId="166" fontId="36" fillId="3" borderId="0" xfId="1" applyNumberFormat="1" applyFont="1" applyFill="1" applyBorder="1" applyAlignment="1" applyProtection="1">
      <alignment vertical="center"/>
      <protection hidden="1"/>
    </xf>
    <xf numFmtId="9" fontId="33" fillId="3" borderId="0" xfId="3" applyFont="1" applyFill="1" applyBorder="1" applyProtection="1">
      <protection hidden="1"/>
    </xf>
    <xf numFmtId="1" fontId="33" fillId="3" borderId="0" xfId="0" applyNumberFormat="1" applyFont="1" applyFill="1" applyBorder="1" applyProtection="1">
      <protection hidden="1"/>
    </xf>
    <xf numFmtId="0" fontId="37" fillId="3" borderId="0" xfId="0" applyFont="1" applyFill="1" applyBorder="1" applyProtection="1">
      <protection hidden="1"/>
    </xf>
    <xf numFmtId="0" fontId="38" fillId="3" borderId="0" xfId="0" applyFont="1" applyFill="1" applyBorder="1" applyProtection="1">
      <protection hidden="1"/>
    </xf>
    <xf numFmtId="0" fontId="33" fillId="3" borderId="0" xfId="0" applyFont="1" applyFill="1" applyBorder="1" applyAlignment="1" applyProtection="1">
      <alignment horizontal="center"/>
      <protection hidden="1"/>
    </xf>
    <xf numFmtId="167" fontId="33" fillId="3" borderId="0" xfId="0" applyNumberFormat="1" applyFont="1" applyFill="1" applyBorder="1" applyProtection="1">
      <protection hidden="1"/>
    </xf>
    <xf numFmtId="2" fontId="33" fillId="3" borderId="0" xfId="0" applyNumberFormat="1" applyFont="1" applyFill="1" applyBorder="1" applyProtection="1">
      <protection hidden="1"/>
    </xf>
    <xf numFmtId="0" fontId="39" fillId="3" borderId="0" xfId="0" applyFont="1" applyFill="1" applyBorder="1" applyAlignment="1" applyProtection="1">
      <alignment horizontal="center"/>
      <protection hidden="1"/>
    </xf>
    <xf numFmtId="0" fontId="33" fillId="3" borderId="0" xfId="0" applyFont="1" applyFill="1" applyBorder="1" applyAlignment="1" applyProtection="1">
      <alignment horizontal="left"/>
      <protection hidden="1"/>
    </xf>
    <xf numFmtId="1" fontId="33" fillId="3" borderId="0" xfId="0" applyNumberFormat="1" applyFont="1" applyFill="1" applyBorder="1" applyAlignment="1" applyProtection="1">
      <alignment horizontal="center"/>
      <protection hidden="1"/>
    </xf>
    <xf numFmtId="1" fontId="39" fillId="3" borderId="0" xfId="0" applyNumberFormat="1" applyFont="1" applyFill="1" applyBorder="1" applyProtection="1">
      <protection hidden="1"/>
    </xf>
    <xf numFmtId="1" fontId="39" fillId="3" borderId="0" xfId="0" applyNumberFormat="1" applyFont="1" applyFill="1" applyBorder="1" applyAlignment="1" applyProtection="1">
      <alignment horizontal="center"/>
      <protection hidden="1"/>
    </xf>
    <xf numFmtId="0" fontId="39" fillId="3" borderId="0" xfId="0" applyFont="1" applyFill="1" applyBorder="1" applyProtection="1">
      <protection hidden="1"/>
    </xf>
    <xf numFmtId="0" fontId="33" fillId="3" borderId="0" xfId="0" applyFont="1" applyFill="1" applyBorder="1" applyAlignment="1" applyProtection="1">
      <alignment horizontal="right"/>
      <protection hidden="1"/>
    </xf>
    <xf numFmtId="165" fontId="9" fillId="4" borderId="9" xfId="1" applyNumberFormat="1" applyFont="1" applyFill="1" applyBorder="1" applyAlignment="1" applyProtection="1">
      <alignment horizontal="center" vertical="center"/>
      <protection locked="0" hidden="1"/>
    </xf>
    <xf numFmtId="0" fontId="14" fillId="0" borderId="9" xfId="0" applyFont="1" applyBorder="1" applyAlignment="1" applyProtection="1">
      <alignment horizontal="center" vertical="center"/>
      <protection hidden="1"/>
    </xf>
    <xf numFmtId="0" fontId="9" fillId="3" borderId="9" xfId="0" applyFont="1" applyFill="1" applyBorder="1" applyAlignment="1" applyProtection="1">
      <alignment horizontal="center"/>
      <protection hidden="1"/>
    </xf>
    <xf numFmtId="165" fontId="25" fillId="7" borderId="13" xfId="1" applyNumberFormat="1" applyFont="1" applyFill="1" applyBorder="1" applyAlignment="1" applyProtection="1">
      <alignment horizontal="center" vertical="center"/>
      <protection hidden="1"/>
    </xf>
    <xf numFmtId="165" fontId="25" fillId="7" borderId="8" xfId="1" applyNumberFormat="1" applyFont="1" applyFill="1" applyBorder="1" applyAlignment="1" applyProtection="1">
      <alignment horizontal="center" vertical="center"/>
      <protection hidden="1"/>
    </xf>
    <xf numFmtId="165" fontId="9" fillId="4" borderId="9" xfId="1" applyNumberFormat="1" applyFont="1" applyFill="1" applyBorder="1" applyAlignment="1" applyProtection="1">
      <alignment horizontal="center" vertical="center"/>
      <protection locked="0" hidden="1"/>
    </xf>
    <xf numFmtId="0" fontId="25" fillId="7" borderId="14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/>
      <protection hidden="1"/>
    </xf>
    <xf numFmtId="0" fontId="25" fillId="7" borderId="2" xfId="0" applyFont="1" applyFill="1" applyBorder="1" applyAlignment="1" applyProtection="1">
      <alignment horizontal="center"/>
      <protection hidden="1"/>
    </xf>
    <xf numFmtId="0" fontId="25" fillId="7" borderId="3" xfId="0" applyFont="1" applyFill="1" applyBorder="1" applyAlignment="1" applyProtection="1">
      <alignment horizontal="center"/>
      <protection hidden="1"/>
    </xf>
    <xf numFmtId="0" fontId="27" fillId="7" borderId="0" xfId="0" applyFont="1" applyFill="1" applyAlignment="1" applyProtection="1">
      <alignment horizontal="center"/>
      <protection hidden="1"/>
    </xf>
    <xf numFmtId="0" fontId="27" fillId="7" borderId="3" xfId="0" applyFont="1" applyFill="1" applyBorder="1" applyAlignment="1" applyProtection="1">
      <alignment horizontal="center"/>
      <protection hidden="1"/>
    </xf>
    <xf numFmtId="0" fontId="29" fillId="7" borderId="1" xfId="0" applyFont="1" applyFill="1" applyBorder="1" applyAlignment="1" applyProtection="1">
      <alignment horizontal="center"/>
      <protection hidden="1"/>
    </xf>
    <xf numFmtId="0" fontId="27" fillId="7" borderId="5" xfId="0" applyFont="1" applyFill="1" applyBorder="1" applyAlignment="1" applyProtection="1">
      <alignment horizontal="center"/>
      <protection hidden="1"/>
    </xf>
    <xf numFmtId="0" fontId="27" fillId="7" borderId="6" xfId="0" applyFont="1" applyFill="1" applyBorder="1" applyAlignment="1" applyProtection="1">
      <alignment horizontal="center"/>
      <protection hidden="1"/>
    </xf>
    <xf numFmtId="0" fontId="27" fillId="7" borderId="7" xfId="0" applyFont="1" applyFill="1" applyBorder="1" applyAlignment="1" applyProtection="1">
      <alignment horizontal="center"/>
      <protection hidden="1"/>
    </xf>
    <xf numFmtId="165" fontId="9" fillId="3" borderId="9" xfId="1" applyNumberFormat="1" applyFont="1" applyFill="1" applyBorder="1" applyAlignment="1" applyProtection="1">
      <alignment horizontal="center" vertical="center"/>
      <protection hidden="1"/>
    </xf>
    <xf numFmtId="0" fontId="27" fillId="7" borderId="9" xfId="0" applyFont="1" applyFill="1" applyBorder="1" applyAlignment="1" applyProtection="1">
      <alignment horizontal="center" vertical="center"/>
      <protection hidden="1"/>
    </xf>
    <xf numFmtId="9" fontId="9" fillId="3" borderId="9" xfId="3" applyFont="1" applyFill="1" applyBorder="1" applyAlignment="1" applyProtection="1">
      <alignment horizontal="center" vertical="center"/>
      <protection hidden="1"/>
    </xf>
    <xf numFmtId="0" fontId="26" fillId="7" borderId="5" xfId="0" applyFont="1" applyFill="1" applyBorder="1" applyAlignment="1" applyProtection="1">
      <alignment horizontal="center"/>
      <protection hidden="1"/>
    </xf>
    <xf numFmtId="0" fontId="26" fillId="7" borderId="6" xfId="0" applyFont="1" applyFill="1" applyBorder="1" applyAlignment="1" applyProtection="1">
      <alignment horizontal="center"/>
      <protection hidden="1"/>
    </xf>
    <xf numFmtId="0" fontId="26" fillId="7" borderId="7" xfId="0" applyFont="1" applyFill="1" applyBorder="1" applyAlignment="1" applyProtection="1">
      <alignment horizontal="center"/>
      <protection hidden="1"/>
    </xf>
    <xf numFmtId="0" fontId="3" fillId="5" borderId="0" xfId="0" applyFont="1" applyFill="1" applyAlignment="1" applyProtection="1">
      <alignment horizontal="center" wrapText="1"/>
      <protection hidden="1"/>
    </xf>
    <xf numFmtId="165" fontId="9" fillId="4" borderId="10" xfId="1" applyNumberFormat="1" applyFont="1" applyFill="1" applyBorder="1" applyAlignment="1" applyProtection="1">
      <alignment horizontal="center" vertical="center"/>
      <protection hidden="1"/>
    </xf>
    <xf numFmtId="165" fontId="9" fillId="4" borderId="11" xfId="1" applyNumberFormat="1" applyFont="1" applyFill="1" applyBorder="1" applyAlignment="1" applyProtection="1">
      <alignment horizontal="center" vertical="center"/>
      <protection hidden="1"/>
    </xf>
    <xf numFmtId="0" fontId="13" fillId="3" borderId="10" xfId="0" applyFont="1" applyFill="1" applyBorder="1" applyAlignment="1" applyProtection="1">
      <alignment horizontal="center"/>
      <protection hidden="1"/>
    </xf>
    <xf numFmtId="0" fontId="13" fillId="3" borderId="15" xfId="0" applyFont="1" applyFill="1" applyBorder="1" applyAlignment="1" applyProtection="1">
      <alignment horizontal="center"/>
      <protection hidden="1"/>
    </xf>
    <xf numFmtId="0" fontId="13" fillId="3" borderId="11" xfId="0" applyFont="1" applyFill="1" applyBorder="1" applyAlignment="1" applyProtection="1">
      <alignment horizontal="center"/>
      <protection hidden="1"/>
    </xf>
    <xf numFmtId="0" fontId="15" fillId="3" borderId="10" xfId="0" applyFont="1" applyFill="1" applyBorder="1" applyAlignment="1" applyProtection="1">
      <alignment horizontal="center"/>
      <protection hidden="1"/>
    </xf>
    <xf numFmtId="0" fontId="15" fillId="3" borderId="15" xfId="0" applyFont="1" applyFill="1" applyBorder="1" applyAlignment="1" applyProtection="1">
      <alignment horizontal="center"/>
      <protection hidden="1"/>
    </xf>
    <xf numFmtId="0" fontId="15" fillId="3" borderId="11" xfId="0" applyFont="1" applyFill="1" applyBorder="1" applyAlignment="1" applyProtection="1">
      <alignment horizontal="center"/>
      <protection hidden="1"/>
    </xf>
    <xf numFmtId="0" fontId="21" fillId="3" borderId="0" xfId="0" applyFont="1" applyFill="1" applyBorder="1" applyAlignment="1" applyProtection="1">
      <alignment horizontal="center"/>
      <protection hidden="1"/>
    </xf>
    <xf numFmtId="0" fontId="10" fillId="3" borderId="0" xfId="0" applyFont="1" applyFill="1" applyBorder="1" applyAlignment="1" applyProtection="1">
      <alignment horizontal="center"/>
      <protection hidden="1"/>
    </xf>
    <xf numFmtId="0" fontId="34" fillId="3" borderId="0" xfId="0" applyFont="1" applyFill="1" applyBorder="1" applyAlignment="1" applyProtection="1">
      <alignment horizontal="center" vertical="center"/>
      <protection hidden="1"/>
    </xf>
    <xf numFmtId="0" fontId="35" fillId="3" borderId="0" xfId="0" applyFont="1" applyFill="1" applyBorder="1" applyAlignment="1" applyProtection="1">
      <alignment horizontal="center" vertical="center"/>
      <protection hidden="1"/>
    </xf>
    <xf numFmtId="0" fontId="36" fillId="3" borderId="0" xfId="0" applyFont="1" applyFill="1" applyBorder="1" applyAlignment="1" applyProtection="1">
      <alignment horizontal="center" vertical="center"/>
      <protection hidden="1"/>
    </xf>
    <xf numFmtId="0" fontId="10" fillId="3" borderId="0" xfId="0" applyFont="1" applyFill="1" applyBorder="1" applyAlignment="1" applyProtection="1">
      <alignment horizontal="center" vertical="center"/>
      <protection hidden="1"/>
    </xf>
    <xf numFmtId="0" fontId="31" fillId="3" borderId="0" xfId="0" applyFont="1" applyFill="1" applyBorder="1" applyAlignment="1" applyProtection="1">
      <alignment horizontal="center"/>
      <protection hidden="1"/>
    </xf>
    <xf numFmtId="0" fontId="35" fillId="3" borderId="0" xfId="0" applyFont="1" applyFill="1" applyBorder="1" applyAlignment="1" applyProtection="1">
      <alignment horizontal="center"/>
      <protection hidden="1"/>
    </xf>
    <xf numFmtId="0" fontId="22" fillId="9" borderId="0" xfId="0" applyFont="1" applyFill="1" applyAlignment="1" applyProtection="1">
      <alignment wrapText="1"/>
      <protection hidden="1"/>
    </xf>
    <xf numFmtId="0" fontId="22" fillId="9" borderId="0" xfId="0" applyFont="1" applyFill="1" applyAlignment="1" applyProtection="1">
      <alignment horizontal="center" vertical="center" wrapText="1"/>
      <protection hidden="1"/>
    </xf>
    <xf numFmtId="165" fontId="27" fillId="7" borderId="16" xfId="1" applyNumberFormat="1" applyFont="1" applyFill="1" applyBorder="1" applyAlignment="1" applyProtection="1">
      <alignment horizontal="center" vertical="center"/>
      <protection hidden="1"/>
    </xf>
    <xf numFmtId="1" fontId="3" fillId="3" borderId="1" xfId="0" applyNumberFormat="1" applyFont="1" applyFill="1" applyBorder="1" applyAlignment="1" applyProtection="1">
      <alignment horizontal="center" vertical="center"/>
      <protection hidden="1"/>
    </xf>
    <xf numFmtId="165" fontId="3" fillId="3" borderId="1" xfId="0" applyNumberFormat="1" applyFont="1" applyFill="1" applyBorder="1" applyAlignment="1" applyProtection="1">
      <alignment horizontal="center" vertical="center"/>
      <protection hidden="1"/>
    </xf>
    <xf numFmtId="0" fontId="40" fillId="8" borderId="0" xfId="2" applyFont="1" applyFill="1" applyBorder="1" applyAlignment="1" applyProtection="1">
      <alignment horizontal="center" vertical="center" wrapText="1"/>
      <protection hidden="1"/>
    </xf>
    <xf numFmtId="0" fontId="41" fillId="8" borderId="12" xfId="0" applyFont="1" applyFill="1" applyBorder="1" applyAlignment="1" applyProtection="1">
      <alignment horizontal="center" wrapText="1"/>
      <protection hidden="1"/>
    </xf>
    <xf numFmtId="0" fontId="41" fillId="8" borderId="0" xfId="0" applyFont="1" applyFill="1" applyBorder="1" applyAlignment="1" applyProtection="1">
      <alignment horizontal="center" wrapText="1"/>
      <protection hidden="1"/>
    </xf>
    <xf numFmtId="0" fontId="42" fillId="8" borderId="0" xfId="2" applyFont="1" applyFill="1" applyBorder="1" applyAlignment="1" applyProtection="1">
      <alignment horizontal="center" vertical="center" wrapText="1"/>
      <protection hidden="1"/>
    </xf>
    <xf numFmtId="0" fontId="22" fillId="3" borderId="0" xfId="0" applyFont="1" applyFill="1" applyAlignment="1" applyProtection="1">
      <alignment wrapText="1"/>
      <protection hidden="1"/>
    </xf>
    <xf numFmtId="0" fontId="22" fillId="3" borderId="4" xfId="0" applyFont="1" applyFill="1" applyBorder="1" applyAlignment="1" applyProtection="1">
      <alignment horizontal="center" wrapText="1"/>
      <protection hidden="1"/>
    </xf>
    <xf numFmtId="9" fontId="3" fillId="3" borderId="1" xfId="3" applyNumberFormat="1" applyFont="1" applyFill="1" applyBorder="1" applyAlignment="1" applyProtection="1">
      <alignment horizontal="right" vertical="center"/>
      <protection hidden="1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FF99FF"/>
      <color rgb="FF7DC2C9"/>
      <color rgb="FF6699FF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1288676</xdr:colOff>
      <xdr:row>0</xdr:row>
      <xdr:rowOff>52259</xdr:rowOff>
    </xdr:from>
    <xdr:ext cx="6902824" cy="833006"/>
    <xdr:sp macro="" textlink="">
      <xdr:nvSpPr>
        <xdr:cNvPr id="5" name="Rectangle 4"/>
        <xdr:cNvSpPr/>
      </xdr:nvSpPr>
      <xdr:spPr>
        <a:xfrm>
          <a:off x="9984886050" y="52259"/>
          <a:ext cx="6902824" cy="833006"/>
        </a:xfrm>
        <a:prstGeom prst="rect">
          <a:avLst/>
        </a:prstGeom>
        <a:solidFill>
          <a:schemeClr val="accent1">
            <a:lumMod val="50000"/>
          </a:schemeClr>
        </a:solidFill>
      </xdr:spPr>
      <xdr:txBody>
        <a:bodyPr wrap="none" lIns="91440" tIns="45720" rIns="91440" bIns="45720">
          <a:noAutofit/>
          <a:scene3d>
            <a:camera prst="orthographicFront">
              <a:rot lat="0" lon="0" rev="0"/>
            </a:camera>
            <a:lightRig rig="contrasting" dir="t">
              <a:rot lat="0" lon="0" rev="4500000"/>
            </a:lightRig>
          </a:scene3d>
          <a:sp3d contourW="6350" prstMaterial="metal">
            <a:bevelT w="127000" h="31750" prst="relaxedInset"/>
            <a:contourClr>
              <a:schemeClr val="accent1">
                <a:shade val="75000"/>
              </a:schemeClr>
            </a:contourClr>
          </a:sp3d>
        </a:bodyPr>
        <a:lstStyle/>
        <a:p>
          <a:pPr algn="ctr"/>
          <a:r>
            <a:rPr lang="fa-IR" sz="2000" b="1" cap="all" spc="0">
              <a:ln w="0"/>
              <a:solidFill>
                <a:schemeClr val="accent1">
                  <a:lumMod val="20000"/>
                  <a:lumOff val="80000"/>
                </a:schemeClr>
              </a:solidFill>
              <a:effectLst>
                <a:reflection blurRad="12700" stA="50000" endPos="50000" dist="5000" dir="5400000" sy="-100000" rotWithShape="0"/>
              </a:effectLst>
              <a:cs typeface="B Titr" panose="00000700000000000000" pitchFamily="2" charset="-78"/>
            </a:rPr>
            <a:t>همسان سازی حقوق کارکنان قرارداد انجام کارمعین با کارکنان پیمانی</a:t>
          </a:r>
        </a:p>
        <a:p>
          <a:pPr algn="ctr"/>
          <a:r>
            <a:rPr lang="fa-IR" sz="1100" b="1" cap="all" spc="0">
              <a:ln w="0"/>
              <a:solidFill>
                <a:schemeClr val="accent1">
                  <a:lumMod val="20000"/>
                  <a:lumOff val="80000"/>
                </a:schemeClr>
              </a:solidFill>
              <a:effectLst>
                <a:reflection blurRad="12700" stA="50000" endPos="50000" dist="5000" dir="5400000" sy="-100000" rotWithShape="0"/>
              </a:effectLst>
              <a:cs typeface="B Titr" panose="00000700000000000000" pitchFamily="2" charset="-78"/>
            </a:rPr>
            <a:t> در اجرای بخشنامه شماره ۲۶۰۸ مورخ 1400/1/23</a:t>
          </a:r>
          <a:r>
            <a:rPr lang="fa-IR" sz="1100" b="1" cap="all" spc="0" baseline="0">
              <a:ln w="0"/>
              <a:solidFill>
                <a:schemeClr val="accent1">
                  <a:lumMod val="20000"/>
                  <a:lumOff val="80000"/>
                </a:schemeClr>
              </a:solidFill>
              <a:effectLst>
                <a:reflection blurRad="12700" stA="50000" endPos="50000" dist="5000" dir="5400000" sy="-100000" rotWithShape="0"/>
              </a:effectLst>
              <a:cs typeface="B Titr" panose="00000700000000000000" pitchFamily="2" charset="-78"/>
            </a:rPr>
            <a:t> </a:t>
          </a:r>
          <a:r>
            <a:rPr lang="fa-IR" sz="1100" b="1" cap="all" spc="0">
              <a:ln w="0"/>
              <a:solidFill>
                <a:schemeClr val="accent1">
                  <a:lumMod val="20000"/>
                  <a:lumOff val="80000"/>
                </a:schemeClr>
              </a:solidFill>
              <a:effectLst>
                <a:reflection blurRad="12700" stA="50000" endPos="50000" dist="5000" dir="5400000" sy="-100000" rotWithShape="0"/>
              </a:effectLst>
              <a:cs typeface="B Titr" panose="00000700000000000000" pitchFamily="2" charset="-78"/>
            </a:rPr>
            <a:t> سازمان اداری و استخدامی کشور</a:t>
          </a:r>
          <a:endParaRPr lang="en-US" sz="1100" b="1" cap="all" spc="0">
            <a:ln w="0"/>
            <a:solidFill>
              <a:schemeClr val="accent1">
                <a:lumMod val="20000"/>
                <a:lumOff val="80000"/>
              </a:schemeClr>
            </a:solidFill>
            <a:effectLst>
              <a:reflection blurRad="12700" stA="50000" endPos="50000" dist="5000" dir="5400000" sy="-100000" rotWithShape="0"/>
            </a:effectLst>
            <a:cs typeface="B Titr" panose="00000700000000000000" pitchFamily="2" charset="-78"/>
          </a:endParaRPr>
        </a:p>
        <a:p>
          <a:pPr algn="ctr"/>
          <a:endParaRPr lang="en-US" sz="1600" b="1" cap="all" spc="0">
            <a:ln w="0"/>
            <a:solidFill>
              <a:schemeClr val="accent1">
                <a:lumMod val="20000"/>
                <a:lumOff val="80000"/>
              </a:schemeClr>
            </a:solidFill>
            <a:effectLst>
              <a:reflection blurRad="12700" stA="50000" endPos="50000" dist="5000" dir="5400000" sy="-100000" rotWithShape="0"/>
            </a:effectLst>
            <a:cs typeface="B Titr" panose="00000700000000000000" pitchFamily="2" charset="-78"/>
          </a:endParaRPr>
        </a:p>
      </xdr:txBody>
    </xdr:sp>
    <xdr:clientData/>
  </xdr:oneCellAnchor>
  <xdr:twoCellAnchor editAs="oneCell">
    <xdr:from>
      <xdr:col>0</xdr:col>
      <xdr:colOff>257347</xdr:colOff>
      <xdr:row>0</xdr:row>
      <xdr:rowOff>43225</xdr:rowOff>
    </xdr:from>
    <xdr:to>
      <xdr:col>0</xdr:col>
      <xdr:colOff>1116418</xdr:colOff>
      <xdr:row>0</xdr:row>
      <xdr:rowOff>892893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6459258" y="43225"/>
          <a:ext cx="859071" cy="849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NaserMahabadi@yahoo.com?subject=&#1587;&#1608;&#1575;&#1604;%20&#1576;&#1575;&#1576;&#1578;%20&#1601;&#1575;&#1740;&#1604;%20&#1607;&#1605;&#1587;&#1575;&#1606;%20&#1587;&#1575;&#1586;&#1740;%20" TargetMode="External"/><Relationship Id="rId1" Type="http://schemas.openxmlformats.org/officeDocument/2006/relationships/hyperlink" Target="https://shenasname.ir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71"/>
  <sheetViews>
    <sheetView rightToLeft="1" tabSelected="1" view="pageBreakPreview" topLeftCell="A13" zoomScaleNormal="90" zoomScaleSheetLayoutView="100" workbookViewId="0">
      <selection activeCell="A26" sqref="A26:C26"/>
    </sheetView>
  </sheetViews>
  <sheetFormatPr defaultRowHeight="12.75" x14ac:dyDescent="0.2"/>
  <cols>
    <col min="1" max="1" width="19.5703125" style="4" bestFit="1" customWidth="1"/>
    <col min="2" max="2" width="9.140625" style="4"/>
    <col min="3" max="3" width="15.5703125" style="4" customWidth="1"/>
    <col min="4" max="4" width="10" style="4" customWidth="1"/>
    <col min="5" max="5" width="17.85546875" style="4" customWidth="1"/>
    <col min="6" max="6" width="27" style="4" customWidth="1"/>
    <col min="7" max="7" width="29.140625" style="4" customWidth="1"/>
    <col min="8" max="8" width="20.42578125" style="4" customWidth="1"/>
    <col min="9" max="9" width="17.28515625" style="4" customWidth="1"/>
    <col min="10" max="10" width="11.140625" style="4" bestFit="1" customWidth="1"/>
    <col min="11" max="16384" width="9.140625" style="4"/>
  </cols>
  <sheetData>
    <row r="1" spans="1:10" s="1" customFormat="1" ht="71.25" customHeight="1" x14ac:dyDescent="0.65">
      <c r="A1" s="52" t="s">
        <v>100</v>
      </c>
      <c r="B1" s="52"/>
      <c r="C1" s="52"/>
      <c r="D1" s="52"/>
      <c r="E1" s="52"/>
      <c r="F1" s="52"/>
      <c r="G1" s="52"/>
      <c r="H1" s="52"/>
      <c r="I1" s="52"/>
    </row>
    <row r="2" spans="1:10" s="1" customFormat="1" ht="22.5" customHeight="1" x14ac:dyDescent="0.65">
      <c r="A2" s="45" t="s">
        <v>81</v>
      </c>
      <c r="B2" s="128" t="s">
        <v>126</v>
      </c>
      <c r="C2" s="129"/>
      <c r="D2" s="129"/>
      <c r="E2" s="129"/>
      <c r="F2" s="127" t="s">
        <v>125</v>
      </c>
      <c r="G2" s="130" t="s">
        <v>127</v>
      </c>
    </row>
    <row r="3" spans="1:10" s="2" customFormat="1" ht="12" customHeight="1" x14ac:dyDescent="0.65">
      <c r="A3" s="122"/>
      <c r="B3" s="122"/>
      <c r="C3" s="123"/>
      <c r="D3" s="123"/>
      <c r="E3" s="122"/>
      <c r="F3" s="122"/>
      <c r="G3" s="122"/>
      <c r="H3" s="122"/>
      <c r="I3" s="122"/>
    </row>
    <row r="4" spans="1:10" s="3" customFormat="1" ht="22.5" customHeight="1" x14ac:dyDescent="0.65">
      <c r="A4" s="114" t="s">
        <v>120</v>
      </c>
      <c r="B4" s="114"/>
      <c r="C4" s="114"/>
      <c r="D4" s="114"/>
      <c r="E4" s="114"/>
      <c r="F4" s="114"/>
      <c r="G4" s="114"/>
      <c r="H4" s="40"/>
      <c r="I4" s="40"/>
    </row>
    <row r="5" spans="1:10" s="3" customFormat="1" ht="22.5" customHeight="1" x14ac:dyDescent="0.65">
      <c r="A5" s="132" t="s">
        <v>119</v>
      </c>
      <c r="B5" s="132"/>
      <c r="C5" s="132"/>
      <c r="D5" s="132"/>
      <c r="E5" s="132"/>
      <c r="F5" s="132"/>
      <c r="G5" s="132"/>
      <c r="H5" s="131"/>
      <c r="I5" s="131"/>
    </row>
    <row r="6" spans="1:10" ht="22.5" x14ac:dyDescent="0.55000000000000004">
      <c r="A6" s="89" t="s">
        <v>54</v>
      </c>
      <c r="B6" s="89"/>
      <c r="C6" s="89"/>
      <c r="D6" s="86" t="s">
        <v>97</v>
      </c>
      <c r="E6" s="87"/>
      <c r="F6" s="58" t="s">
        <v>91</v>
      </c>
      <c r="G6" s="58" t="s">
        <v>98</v>
      </c>
      <c r="H6" s="6"/>
      <c r="I6" s="6"/>
    </row>
    <row r="7" spans="1:10" ht="22.5" x14ac:dyDescent="0.65">
      <c r="A7" s="84" t="s">
        <v>92</v>
      </c>
      <c r="B7" s="85" t="s">
        <v>23</v>
      </c>
      <c r="C7" s="85"/>
      <c r="D7" s="88">
        <v>5520</v>
      </c>
      <c r="E7" s="88"/>
      <c r="F7" s="60">
        <f>D7*'98'!C2</f>
        <v>13457760</v>
      </c>
      <c r="G7" s="59">
        <f t="shared" ref="G7:G12" si="0">F7/0.8</f>
        <v>16822200</v>
      </c>
      <c r="H7" s="6"/>
      <c r="I7" s="63"/>
      <c r="J7" s="5"/>
    </row>
    <row r="8" spans="1:10" ht="22.5" x14ac:dyDescent="0.65">
      <c r="A8" s="84"/>
      <c r="B8" s="85" t="s">
        <v>55</v>
      </c>
      <c r="C8" s="85"/>
      <c r="D8" s="88">
        <v>0</v>
      </c>
      <c r="E8" s="88"/>
      <c r="F8" s="60">
        <f>D8*'98'!C2</f>
        <v>0</v>
      </c>
      <c r="G8" s="59">
        <f t="shared" si="0"/>
        <v>0</v>
      </c>
      <c r="H8" s="6"/>
      <c r="I8" s="63"/>
      <c r="J8" s="5"/>
    </row>
    <row r="9" spans="1:10" ht="22.5" x14ac:dyDescent="0.65">
      <c r="A9" s="84"/>
      <c r="B9" s="85" t="s">
        <v>69</v>
      </c>
      <c r="C9" s="85"/>
      <c r="D9" s="88">
        <v>3312</v>
      </c>
      <c r="E9" s="88"/>
      <c r="F9" s="60">
        <f>D9*'98'!C2</f>
        <v>8074656</v>
      </c>
      <c r="G9" s="59">
        <f t="shared" si="0"/>
        <v>10093320</v>
      </c>
      <c r="H9" s="6"/>
      <c r="I9" s="6"/>
      <c r="J9" s="5"/>
    </row>
    <row r="10" spans="1:10" ht="22.5" x14ac:dyDescent="0.65">
      <c r="A10" s="85" t="s">
        <v>57</v>
      </c>
      <c r="B10" s="85"/>
      <c r="C10" s="85"/>
      <c r="D10" s="88">
        <v>1800</v>
      </c>
      <c r="E10" s="88"/>
      <c r="F10" s="60">
        <f>D10*'98'!C2</f>
        <v>4388400</v>
      </c>
      <c r="G10" s="59">
        <f t="shared" si="0"/>
        <v>5485500</v>
      </c>
      <c r="H10" s="6"/>
      <c r="I10" s="6"/>
      <c r="J10" s="5"/>
    </row>
    <row r="11" spans="1:10" ht="22.5" x14ac:dyDescent="0.65">
      <c r="A11" s="85" t="s">
        <v>59</v>
      </c>
      <c r="B11" s="85"/>
      <c r="C11" s="85"/>
      <c r="D11" s="88">
        <v>0</v>
      </c>
      <c r="E11" s="88"/>
      <c r="F11" s="60">
        <f>D11*'98'!C2</f>
        <v>0</v>
      </c>
      <c r="G11" s="59">
        <f t="shared" si="0"/>
        <v>0</v>
      </c>
      <c r="H11" s="6"/>
      <c r="I11" s="6"/>
      <c r="J11" s="5"/>
    </row>
    <row r="12" spans="1:10" ht="22.5" x14ac:dyDescent="0.65">
      <c r="A12" s="85" t="s">
        <v>61</v>
      </c>
      <c r="B12" s="85"/>
      <c r="C12" s="85"/>
      <c r="D12" s="88"/>
      <c r="E12" s="88"/>
      <c r="F12" s="60">
        <f>D12*'98'!C2</f>
        <v>0</v>
      </c>
      <c r="G12" s="59">
        <f t="shared" si="0"/>
        <v>0</v>
      </c>
      <c r="H12" s="6"/>
      <c r="I12" s="6"/>
      <c r="J12" s="5"/>
    </row>
    <row r="13" spans="1:10" ht="22.5" x14ac:dyDescent="0.65">
      <c r="A13" s="85" t="s">
        <v>62</v>
      </c>
      <c r="B13" s="85"/>
      <c r="C13" s="85"/>
      <c r="D13" s="88">
        <v>1215</v>
      </c>
      <c r="E13" s="88"/>
      <c r="F13" s="60">
        <f>D13*'98'!C2</f>
        <v>2962170</v>
      </c>
      <c r="G13" s="59">
        <f>F13</f>
        <v>2962170</v>
      </c>
      <c r="H13" s="6"/>
      <c r="I13" s="6"/>
      <c r="J13" s="5"/>
    </row>
    <row r="14" spans="1:10" ht="22.5" x14ac:dyDescent="0.65">
      <c r="A14" s="85" t="s">
        <v>63</v>
      </c>
      <c r="B14" s="85"/>
      <c r="C14" s="85"/>
      <c r="D14" s="88">
        <v>315</v>
      </c>
      <c r="E14" s="88"/>
      <c r="F14" s="60">
        <f>D14*'98'!C2</f>
        <v>767970</v>
      </c>
      <c r="G14" s="59">
        <f>F14</f>
        <v>767970</v>
      </c>
      <c r="H14" s="6"/>
      <c r="I14" s="6"/>
      <c r="J14" s="5"/>
    </row>
    <row r="15" spans="1:10" ht="22.5" x14ac:dyDescent="0.65">
      <c r="A15" s="85" t="s">
        <v>67</v>
      </c>
      <c r="B15" s="85"/>
      <c r="C15" s="85"/>
      <c r="D15" s="88"/>
      <c r="E15" s="88"/>
      <c r="F15" s="60">
        <f>D15*'98'!C2</f>
        <v>0</v>
      </c>
      <c r="G15" s="59">
        <f>F15/0.8</f>
        <v>0</v>
      </c>
      <c r="H15" s="6"/>
      <c r="I15" s="6"/>
      <c r="J15" s="5"/>
    </row>
    <row r="16" spans="1:10" ht="22.5" x14ac:dyDescent="0.65">
      <c r="A16" s="85" t="s">
        <v>68</v>
      </c>
      <c r="B16" s="85"/>
      <c r="C16" s="85"/>
      <c r="D16" s="88"/>
      <c r="E16" s="88"/>
      <c r="F16" s="60">
        <f>D16*'98'!C2</f>
        <v>0</v>
      </c>
      <c r="G16" s="59">
        <f>F16/0.8</f>
        <v>0</v>
      </c>
      <c r="H16" s="6"/>
      <c r="I16" s="6"/>
      <c r="J16" s="5"/>
    </row>
    <row r="17" spans="1:10" ht="22.5" hidden="1" x14ac:dyDescent="0.55000000000000004">
      <c r="A17" s="111" t="s">
        <v>90</v>
      </c>
      <c r="B17" s="112"/>
      <c r="C17" s="113"/>
      <c r="D17" s="106">
        <v>0</v>
      </c>
      <c r="E17" s="107"/>
      <c r="F17" s="60">
        <f>D17*'98'!C2</f>
        <v>0</v>
      </c>
      <c r="G17" s="59">
        <f t="shared" ref="G17:G18" si="1">F17/0.8</f>
        <v>0</v>
      </c>
      <c r="H17" s="6"/>
      <c r="I17" s="6"/>
    </row>
    <row r="18" spans="1:10" ht="22.5" hidden="1" x14ac:dyDescent="0.6">
      <c r="A18" s="108" t="s">
        <v>89</v>
      </c>
      <c r="B18" s="109"/>
      <c r="C18" s="110"/>
      <c r="D18" s="106">
        <v>0</v>
      </c>
      <c r="E18" s="107"/>
      <c r="F18" s="60">
        <f>D18*'98'!C2</f>
        <v>0</v>
      </c>
      <c r="G18" s="59">
        <f t="shared" si="1"/>
        <v>0</v>
      </c>
      <c r="H18" s="6"/>
      <c r="I18" s="6"/>
      <c r="J18" s="5"/>
    </row>
    <row r="19" spans="1:10" ht="22.5" x14ac:dyDescent="0.65">
      <c r="A19" s="85" t="s">
        <v>56</v>
      </c>
      <c r="B19" s="85"/>
      <c r="C19" s="85"/>
      <c r="D19" s="99"/>
      <c r="E19" s="99"/>
      <c r="F19" s="83"/>
      <c r="G19" s="59">
        <f>F19</f>
        <v>0</v>
      </c>
      <c r="H19" s="6"/>
      <c r="I19" s="6"/>
      <c r="J19" s="5"/>
    </row>
    <row r="20" spans="1:10" ht="22.5" x14ac:dyDescent="0.65">
      <c r="A20" s="85" t="s">
        <v>58</v>
      </c>
      <c r="B20" s="85"/>
      <c r="C20" s="85"/>
      <c r="D20" s="101">
        <f>'98'!B16</f>
        <v>0.17</v>
      </c>
      <c r="E20" s="101"/>
      <c r="F20" s="83">
        <v>4507968</v>
      </c>
      <c r="G20" s="59">
        <f>'1400'!G17</f>
        <v>5936165</v>
      </c>
      <c r="H20" s="6"/>
      <c r="I20" s="6"/>
      <c r="J20" s="5"/>
    </row>
    <row r="21" spans="1:10" ht="22.5" hidden="1" x14ac:dyDescent="0.65">
      <c r="A21" s="85" t="s">
        <v>60</v>
      </c>
      <c r="B21" s="85"/>
      <c r="C21" s="85"/>
      <c r="D21" s="99"/>
      <c r="E21" s="99"/>
      <c r="F21" s="83"/>
      <c r="G21" s="59">
        <f>'1400'!G18</f>
        <v>0</v>
      </c>
      <c r="H21" s="6"/>
      <c r="I21" s="6"/>
      <c r="J21" s="5"/>
    </row>
    <row r="22" spans="1:10" ht="22.5" x14ac:dyDescent="0.65">
      <c r="A22" s="85" t="s">
        <v>118</v>
      </c>
      <c r="B22" s="85"/>
      <c r="C22" s="85"/>
      <c r="D22" s="99"/>
      <c r="E22" s="99"/>
      <c r="F22" s="83">
        <v>5942216</v>
      </c>
      <c r="G22" s="59">
        <v>0</v>
      </c>
      <c r="H22" s="6"/>
      <c r="I22" s="6"/>
      <c r="J22" s="5"/>
    </row>
    <row r="23" spans="1:10" ht="22.5" x14ac:dyDescent="0.65">
      <c r="A23" s="85" t="s">
        <v>64</v>
      </c>
      <c r="B23" s="85"/>
      <c r="C23" s="85"/>
      <c r="D23" s="101">
        <f>'98'!B3</f>
        <v>0</v>
      </c>
      <c r="E23" s="101"/>
      <c r="F23" s="83">
        <v>0</v>
      </c>
      <c r="G23" s="59">
        <f>(G7+G8+G9)*D23</f>
        <v>0</v>
      </c>
      <c r="H23" s="6"/>
      <c r="I23" s="6"/>
      <c r="J23" s="5"/>
    </row>
    <row r="24" spans="1:10" ht="22.5" x14ac:dyDescent="0.65">
      <c r="A24" s="85" t="s">
        <v>65</v>
      </c>
      <c r="B24" s="85"/>
      <c r="C24" s="85"/>
      <c r="D24" s="101">
        <f>'98'!B4</f>
        <v>0</v>
      </c>
      <c r="E24" s="101"/>
      <c r="F24" s="83">
        <v>0</v>
      </c>
      <c r="G24" s="59">
        <f>(G8+G9+G10)*D24</f>
        <v>0</v>
      </c>
      <c r="H24" s="6"/>
      <c r="I24" s="6"/>
      <c r="J24" s="5"/>
    </row>
    <row r="25" spans="1:10" ht="22.5" x14ac:dyDescent="0.65">
      <c r="A25" s="85" t="s">
        <v>79</v>
      </c>
      <c r="B25" s="85"/>
      <c r="C25" s="85"/>
      <c r="D25" s="99"/>
      <c r="E25" s="99"/>
      <c r="F25" s="83"/>
      <c r="G25" s="59">
        <f>F25</f>
        <v>0</v>
      </c>
      <c r="H25" s="6"/>
      <c r="I25" s="6"/>
      <c r="J25" s="5"/>
    </row>
    <row r="26" spans="1:10" ht="22.5" x14ac:dyDescent="0.55000000000000004">
      <c r="A26" s="100" t="s">
        <v>128</v>
      </c>
      <c r="B26" s="100"/>
      <c r="C26" s="100"/>
      <c r="D26" s="100"/>
      <c r="E26" s="100"/>
      <c r="F26" s="124">
        <f>SUM(F7:F25)</f>
        <v>40101140</v>
      </c>
      <c r="G26" s="124">
        <f>SUM(G7:G25)</f>
        <v>42067325</v>
      </c>
      <c r="I26" s="6"/>
      <c r="J26" s="5"/>
    </row>
    <row r="27" spans="1:10" ht="18.75" x14ac:dyDescent="0.55000000000000004">
      <c r="A27" s="7"/>
      <c r="B27" s="7"/>
      <c r="C27" s="7"/>
      <c r="D27" s="7"/>
      <c r="E27" s="6"/>
      <c r="F27" s="125" t="s">
        <v>121</v>
      </c>
      <c r="G27" s="126">
        <f>G26-F26</f>
        <v>1966185</v>
      </c>
      <c r="H27" s="6"/>
      <c r="I27" s="6"/>
    </row>
    <row r="28" spans="1:10" ht="18.75" x14ac:dyDescent="0.55000000000000004">
      <c r="A28" s="6"/>
      <c r="B28" s="6"/>
      <c r="C28" s="6"/>
      <c r="D28" s="6"/>
      <c r="E28" s="6"/>
      <c r="F28" s="125" t="s">
        <v>122</v>
      </c>
      <c r="G28" s="133">
        <f>G27/F26</f>
        <v>4.9030650998949155E-2</v>
      </c>
      <c r="H28" s="7"/>
      <c r="I28" s="6"/>
    </row>
    <row r="29" spans="1:10" ht="18.75" x14ac:dyDescent="0.55000000000000004">
      <c r="A29" s="6"/>
      <c r="B29" s="6"/>
      <c r="C29" s="6"/>
      <c r="D29" s="6"/>
      <c r="E29" s="6"/>
      <c r="F29" s="7"/>
      <c r="G29" s="7"/>
      <c r="H29" s="7"/>
      <c r="I29" s="6"/>
    </row>
    <row r="30" spans="1:10" ht="22.5" x14ac:dyDescent="0.65">
      <c r="A30" s="6"/>
      <c r="B30" s="6"/>
      <c r="C30" s="6"/>
      <c r="D30" s="6"/>
      <c r="E30" s="6"/>
      <c r="F30" s="8"/>
      <c r="G30" s="8"/>
      <c r="H30" s="9"/>
      <c r="I30" s="9"/>
    </row>
    <row r="31" spans="1:10" ht="63" hidden="1" customHeight="1" x14ac:dyDescent="0.55000000000000004">
      <c r="A31" s="105" t="s">
        <v>96</v>
      </c>
      <c r="B31" s="105"/>
      <c r="C31" s="105"/>
      <c r="D31" s="105"/>
      <c r="E31" s="105"/>
      <c r="F31" s="105"/>
      <c r="G31" s="105"/>
      <c r="H31" s="105"/>
      <c r="I31" s="105"/>
    </row>
    <row r="32" spans="1:10" ht="18.75" hidden="1" x14ac:dyDescent="0.55000000000000004">
      <c r="A32" s="54" t="s">
        <v>53</v>
      </c>
      <c r="B32" s="54"/>
      <c r="C32" s="54">
        <v>1.5</v>
      </c>
      <c r="D32" s="6"/>
      <c r="E32" s="6"/>
      <c r="F32" s="6"/>
      <c r="G32" s="6"/>
      <c r="H32" s="6"/>
      <c r="I32" s="6"/>
    </row>
    <row r="33" spans="1:9" ht="18.75" hidden="1" x14ac:dyDescent="0.55000000000000004">
      <c r="A33" s="6"/>
      <c r="B33" s="6"/>
      <c r="C33" s="6"/>
      <c r="D33" s="6"/>
      <c r="E33" s="6"/>
      <c r="F33" s="6"/>
      <c r="G33" s="6"/>
      <c r="H33" s="6"/>
      <c r="I33" s="6"/>
    </row>
    <row r="34" spans="1:9" ht="22.5" hidden="1" x14ac:dyDescent="0.65">
      <c r="A34" s="91" t="s">
        <v>73</v>
      </c>
      <c r="B34" s="92"/>
      <c r="C34" s="41" t="s">
        <v>5</v>
      </c>
      <c r="D34" s="10"/>
      <c r="E34" s="10"/>
      <c r="F34" s="95" t="s">
        <v>99</v>
      </c>
      <c r="G34" s="95"/>
      <c r="H34" s="95"/>
      <c r="I34" s="95"/>
    </row>
    <row r="35" spans="1:9" ht="22.5" hidden="1" x14ac:dyDescent="0.55000000000000004">
      <c r="A35" s="11"/>
      <c r="B35" s="12">
        <f>IF(C34=A41,"1",+IF(C34=A42,2,+IF(C34=A43,"3",+IF(C34=A44,4,+IF(C34=A45,5,+IF(C34=A46,6,0))))))</f>
        <v>5</v>
      </c>
      <c r="C35" s="13"/>
      <c r="D35" s="10"/>
      <c r="E35" s="10"/>
      <c r="F35" s="48" t="s">
        <v>18</v>
      </c>
      <c r="G35" s="49" t="s">
        <v>11</v>
      </c>
      <c r="H35" s="49" t="s">
        <v>12</v>
      </c>
      <c r="I35" s="49" t="s">
        <v>13</v>
      </c>
    </row>
    <row r="36" spans="1:9" ht="22.5" hidden="1" x14ac:dyDescent="0.65">
      <c r="A36" s="93" t="s">
        <v>50</v>
      </c>
      <c r="B36" s="94"/>
      <c r="C36" s="42">
        <v>1000</v>
      </c>
      <c r="D36" s="10"/>
      <c r="E36" s="10"/>
      <c r="F36" s="50" t="s">
        <v>19</v>
      </c>
      <c r="G36" s="43"/>
      <c r="H36" s="43"/>
      <c r="I36" s="43"/>
    </row>
    <row r="37" spans="1:9" ht="18.75" hidden="1" x14ac:dyDescent="0.55000000000000004">
      <c r="A37" s="10"/>
      <c r="B37" s="10"/>
      <c r="C37" s="13"/>
      <c r="D37" s="13"/>
      <c r="E37" s="13"/>
      <c r="F37" s="50" t="s">
        <v>20</v>
      </c>
      <c r="G37" s="43"/>
      <c r="H37" s="43"/>
      <c r="I37" s="43"/>
    </row>
    <row r="38" spans="1:9" ht="18.75" hidden="1" x14ac:dyDescent="0.55000000000000004">
      <c r="A38" s="10"/>
      <c r="B38" s="10"/>
      <c r="C38" s="13"/>
      <c r="D38" s="13"/>
      <c r="E38" s="13"/>
      <c r="F38" s="6"/>
      <c r="G38" s="6"/>
      <c r="H38" s="6"/>
      <c r="I38" s="6"/>
    </row>
    <row r="39" spans="1:9" ht="22.5" hidden="1" x14ac:dyDescent="0.65">
      <c r="A39" s="96" t="s">
        <v>51</v>
      </c>
      <c r="B39" s="97"/>
      <c r="C39" s="97"/>
      <c r="D39" s="98"/>
      <c r="E39" s="6"/>
      <c r="F39" s="102" t="s">
        <v>52</v>
      </c>
      <c r="G39" s="103"/>
      <c r="H39" s="103"/>
      <c r="I39" s="104"/>
    </row>
    <row r="40" spans="1:9" ht="22.5" hidden="1" x14ac:dyDescent="0.65">
      <c r="A40" s="46" t="s">
        <v>80</v>
      </c>
      <c r="B40" s="47" t="s">
        <v>11</v>
      </c>
      <c r="C40" s="47" t="s">
        <v>12</v>
      </c>
      <c r="D40" s="47" t="s">
        <v>13</v>
      </c>
      <c r="E40" s="6"/>
      <c r="F40" s="46" t="s">
        <v>15</v>
      </c>
      <c r="G40" s="47" t="s">
        <v>11</v>
      </c>
      <c r="H40" s="47" t="s">
        <v>12</v>
      </c>
      <c r="I40" s="47" t="s">
        <v>13</v>
      </c>
    </row>
    <row r="41" spans="1:9" ht="22.5" hidden="1" x14ac:dyDescent="0.65">
      <c r="A41" s="14" t="s">
        <v>1</v>
      </c>
      <c r="B41" s="42"/>
      <c r="C41" s="42"/>
      <c r="D41" s="44"/>
      <c r="E41" s="15"/>
      <c r="F41" s="14" t="s">
        <v>1</v>
      </c>
      <c r="G41" s="42"/>
      <c r="H41" s="42"/>
      <c r="I41" s="44"/>
    </row>
    <row r="42" spans="1:9" ht="22.5" hidden="1" x14ac:dyDescent="0.65">
      <c r="A42" s="14" t="s">
        <v>2</v>
      </c>
      <c r="B42" s="42"/>
      <c r="C42" s="42"/>
      <c r="D42" s="44"/>
      <c r="E42" s="15"/>
      <c r="F42" s="14" t="s">
        <v>2</v>
      </c>
      <c r="G42" s="42"/>
      <c r="H42" s="42"/>
      <c r="I42" s="44"/>
    </row>
    <row r="43" spans="1:9" ht="22.5" hidden="1" x14ac:dyDescent="0.65">
      <c r="A43" s="14" t="s">
        <v>3</v>
      </c>
      <c r="B43" s="44"/>
      <c r="C43" s="44"/>
      <c r="D43" s="44"/>
      <c r="E43" s="15"/>
      <c r="F43" s="14" t="s">
        <v>3</v>
      </c>
      <c r="G43" s="44"/>
      <c r="H43" s="44"/>
      <c r="I43" s="44"/>
    </row>
    <row r="44" spans="1:9" ht="22.5" hidden="1" x14ac:dyDescent="0.65">
      <c r="A44" s="14" t="s">
        <v>4</v>
      </c>
      <c r="B44" s="44"/>
      <c r="C44" s="44"/>
      <c r="D44" s="44"/>
      <c r="E44" s="15"/>
      <c r="F44" s="14" t="s">
        <v>4</v>
      </c>
      <c r="G44" s="44"/>
      <c r="H44" s="44"/>
      <c r="I44" s="44"/>
    </row>
    <row r="45" spans="1:9" ht="22.5" hidden="1" x14ac:dyDescent="0.65">
      <c r="A45" s="14" t="s">
        <v>5</v>
      </c>
      <c r="B45" s="44"/>
      <c r="C45" s="44"/>
      <c r="D45" s="44"/>
      <c r="E45" s="15"/>
      <c r="F45" s="14" t="s">
        <v>5</v>
      </c>
      <c r="G45" s="44"/>
      <c r="H45" s="44"/>
      <c r="I45" s="44"/>
    </row>
    <row r="46" spans="1:9" ht="22.5" hidden="1" x14ac:dyDescent="0.65">
      <c r="A46" s="14" t="s">
        <v>6</v>
      </c>
      <c r="B46" s="42"/>
      <c r="C46" s="42"/>
      <c r="D46" s="44"/>
      <c r="E46" s="15"/>
      <c r="F46" s="14" t="s">
        <v>6</v>
      </c>
      <c r="G46" s="44"/>
      <c r="H46" s="44"/>
      <c r="I46" s="44"/>
    </row>
    <row r="47" spans="1:9" ht="22.5" hidden="1" x14ac:dyDescent="0.65">
      <c r="A47" s="55" t="s">
        <v>102</v>
      </c>
      <c r="B47" s="51">
        <f>'sheet 2'!J37</f>
        <v>0</v>
      </c>
      <c r="C47" s="51">
        <f>'sheet 2'!K37</f>
        <v>0</v>
      </c>
      <c r="D47" s="51">
        <f>'sheet 2'!L37</f>
        <v>0</v>
      </c>
      <c r="E47" s="6"/>
      <c r="F47" s="53" t="s">
        <v>101</v>
      </c>
      <c r="G47" s="51">
        <f>'sheet 2'!J47</f>
        <v>0</v>
      </c>
      <c r="H47" s="51">
        <f>'sheet 2'!K47</f>
        <v>0</v>
      </c>
      <c r="I47" s="51">
        <f>'sheet 2'!L47</f>
        <v>0</v>
      </c>
    </row>
    <row r="48" spans="1:9" ht="18.75" x14ac:dyDescent="0.55000000000000004">
      <c r="A48" s="13"/>
      <c r="B48" s="16"/>
      <c r="C48" s="13"/>
      <c r="D48" s="13"/>
      <c r="E48" s="6"/>
      <c r="F48" s="6"/>
      <c r="G48" s="6"/>
      <c r="H48" s="6"/>
      <c r="I48" s="6"/>
    </row>
    <row r="49" spans="1:9" ht="18.75" x14ac:dyDescent="0.55000000000000004">
      <c r="A49" s="6"/>
      <c r="B49" s="6"/>
      <c r="C49" s="6"/>
      <c r="D49" s="6"/>
      <c r="E49" s="6"/>
      <c r="F49" s="6"/>
      <c r="G49" s="6"/>
      <c r="H49" s="6"/>
      <c r="I49" s="6"/>
    </row>
    <row r="50" spans="1:9" ht="18.75" hidden="1" x14ac:dyDescent="0.55000000000000004">
      <c r="A50" s="90" t="s">
        <v>78</v>
      </c>
      <c r="B50" s="90"/>
      <c r="C50" s="90"/>
      <c r="D50" s="90"/>
      <c r="E50" s="6"/>
      <c r="F50" s="6"/>
      <c r="G50" s="6"/>
      <c r="H50" s="6"/>
      <c r="I50" s="6"/>
    </row>
    <row r="51" spans="1:9" ht="18.75" hidden="1" x14ac:dyDescent="0.55000000000000004">
      <c r="A51" s="50"/>
      <c r="B51" s="50" t="s">
        <v>11</v>
      </c>
      <c r="C51" s="50" t="s">
        <v>12</v>
      </c>
      <c r="D51" s="50" t="s">
        <v>13</v>
      </c>
      <c r="E51" s="6"/>
      <c r="F51" s="6"/>
      <c r="G51" s="6"/>
      <c r="H51" s="6"/>
      <c r="I51" s="6"/>
    </row>
    <row r="52" spans="1:9" ht="18.75" hidden="1" x14ac:dyDescent="0.55000000000000004">
      <c r="A52" s="14" t="s">
        <v>71</v>
      </c>
      <c r="B52" s="18">
        <v>1</v>
      </c>
      <c r="C52" s="18">
        <v>1</v>
      </c>
      <c r="D52" s="18">
        <v>1398</v>
      </c>
      <c r="E52" s="6"/>
      <c r="F52" s="6"/>
      <c r="G52" s="6"/>
      <c r="H52" s="6"/>
      <c r="I52" s="6"/>
    </row>
    <row r="53" spans="1:9" ht="18.75" hidden="1" x14ac:dyDescent="0.55000000000000004">
      <c r="A53" s="14" t="s">
        <v>72</v>
      </c>
      <c r="B53" s="18">
        <v>5</v>
      </c>
      <c r="C53" s="18">
        <v>1</v>
      </c>
      <c r="D53" s="18">
        <v>1385</v>
      </c>
      <c r="E53" s="6"/>
      <c r="F53" s="6"/>
      <c r="G53" s="6"/>
      <c r="H53" s="6"/>
      <c r="I53" s="6"/>
    </row>
    <row r="54" spans="1:9" ht="18.75" hidden="1" x14ac:dyDescent="0.55000000000000004">
      <c r="A54" s="50" t="s">
        <v>70</v>
      </c>
      <c r="B54" s="48">
        <f>IF(B52-B53&lt;0,B52+30-B53,B52-B53)</f>
        <v>26</v>
      </c>
      <c r="C54" s="48">
        <f>IF(C52-C53&lt;=0,+IF(B52-B53&lt;0,C52-1+12-C53,C52+12-C53),+IF(B52-B53&lt;0,C52-1-C53,C52-C53))</f>
        <v>11</v>
      </c>
      <c r="D54" s="48">
        <f>IF(D52-D53&lt;0,+IF(C52-C53&lt;=0,D52-1-D53,D52-D53),+IF(C52-C53&lt;0,D52-1-D53,D52-D53))</f>
        <v>13</v>
      </c>
      <c r="E54" s="6"/>
      <c r="F54" s="6"/>
      <c r="G54" s="6"/>
      <c r="H54" s="6"/>
      <c r="I54" s="6"/>
    </row>
    <row r="55" spans="1:9" ht="18.75" x14ac:dyDescent="0.55000000000000004">
      <c r="E55" s="15"/>
    </row>
    <row r="56" spans="1:9" ht="18.75" x14ac:dyDescent="0.55000000000000004">
      <c r="E56" s="15"/>
    </row>
    <row r="57" spans="1:9" ht="18.75" x14ac:dyDescent="0.55000000000000004">
      <c r="E57" s="6"/>
    </row>
    <row r="58" spans="1:9" ht="18.75" x14ac:dyDescent="0.55000000000000004">
      <c r="A58" s="13"/>
      <c r="B58" s="17"/>
      <c r="C58" s="17"/>
      <c r="D58" s="7"/>
      <c r="E58" s="6"/>
    </row>
    <row r="59" spans="1:9" ht="18.75" x14ac:dyDescent="0.55000000000000004">
      <c r="A59" s="13"/>
      <c r="B59" s="17"/>
      <c r="C59" s="17"/>
      <c r="D59" s="7"/>
      <c r="E59" s="6"/>
    </row>
    <row r="60" spans="1:9" ht="18.75" x14ac:dyDescent="0.55000000000000004">
      <c r="E60" s="6"/>
    </row>
    <row r="61" spans="1:9" ht="18.75" x14ac:dyDescent="0.55000000000000004">
      <c r="E61" s="6"/>
    </row>
    <row r="62" spans="1:9" ht="18.75" x14ac:dyDescent="0.55000000000000004">
      <c r="E62" s="6"/>
    </row>
    <row r="63" spans="1:9" ht="18.75" x14ac:dyDescent="0.55000000000000004">
      <c r="E63" s="6"/>
    </row>
    <row r="64" spans="1:9" ht="18.75" x14ac:dyDescent="0.55000000000000004">
      <c r="A64" s="6"/>
      <c r="B64" s="6"/>
      <c r="C64" s="6"/>
      <c r="D64" s="6"/>
      <c r="E64" s="6"/>
    </row>
    <row r="65" spans="1:5" ht="18.75" x14ac:dyDescent="0.55000000000000004">
      <c r="E65" s="6"/>
    </row>
    <row r="66" spans="1:5" ht="18.75" x14ac:dyDescent="0.55000000000000004">
      <c r="A66" s="6"/>
      <c r="B66" s="6"/>
      <c r="C66" s="6"/>
      <c r="D66" s="6"/>
      <c r="E66" s="6"/>
    </row>
    <row r="67" spans="1:5" ht="18.75" x14ac:dyDescent="0.55000000000000004">
      <c r="E67" s="6"/>
    </row>
    <row r="68" spans="1:5" ht="18.75" x14ac:dyDescent="0.55000000000000004">
      <c r="E68" s="6"/>
    </row>
    <row r="69" spans="1:5" ht="18.75" x14ac:dyDescent="0.55000000000000004">
      <c r="E69" s="6"/>
    </row>
    <row r="70" spans="1:5" ht="18.75" x14ac:dyDescent="0.55000000000000004">
      <c r="E70" s="6"/>
    </row>
    <row r="71" spans="1:5" ht="18.75" x14ac:dyDescent="0.55000000000000004">
      <c r="E71" s="6"/>
    </row>
  </sheetData>
  <sheetProtection algorithmName="SHA-512" hashValue="srEwWXTpjs2crIv6mTcWP82ZOlzT5b07I7IUSEXU7rtySY63PgOYCNJ2UIhWousFuEsoODjrUqAcEn97gng7+A==" saltValue="l3GgnHEab67eyTcw9+8X8Q==" spinCount="100000" sheet="1" objects="1" scenarios="1"/>
  <mergeCells count="54">
    <mergeCell ref="C3:D3"/>
    <mergeCell ref="B2:E2"/>
    <mergeCell ref="A4:G4"/>
    <mergeCell ref="F39:I39"/>
    <mergeCell ref="A31:I31"/>
    <mergeCell ref="D18:E18"/>
    <mergeCell ref="D17:E17"/>
    <mergeCell ref="A18:C18"/>
    <mergeCell ref="A17:C17"/>
    <mergeCell ref="D26:E26"/>
    <mergeCell ref="B7:C7"/>
    <mergeCell ref="D15:E15"/>
    <mergeCell ref="D24:E24"/>
    <mergeCell ref="D23:E23"/>
    <mergeCell ref="D22:E22"/>
    <mergeCell ref="B8:C8"/>
    <mergeCell ref="F34:I34"/>
    <mergeCell ref="A39:D39"/>
    <mergeCell ref="D25:E25"/>
    <mergeCell ref="A22:C22"/>
    <mergeCell ref="D16:E16"/>
    <mergeCell ref="A21:C21"/>
    <mergeCell ref="A25:C25"/>
    <mergeCell ref="A24:C24"/>
    <mergeCell ref="A23:C23"/>
    <mergeCell ref="A26:C26"/>
    <mergeCell ref="D20:E20"/>
    <mergeCell ref="D19:E19"/>
    <mergeCell ref="D21:E21"/>
    <mergeCell ref="A50:D50"/>
    <mergeCell ref="A34:B34"/>
    <mergeCell ref="A36:B36"/>
    <mergeCell ref="A12:C12"/>
    <mergeCell ref="A13:C13"/>
    <mergeCell ref="A14:C14"/>
    <mergeCell ref="A19:C19"/>
    <mergeCell ref="A20:C20"/>
    <mergeCell ref="D14:E14"/>
    <mergeCell ref="D13:E13"/>
    <mergeCell ref="D12:E12"/>
    <mergeCell ref="A7:A9"/>
    <mergeCell ref="A15:C15"/>
    <mergeCell ref="A16:C16"/>
    <mergeCell ref="A11:C11"/>
    <mergeCell ref="D6:E6"/>
    <mergeCell ref="D7:E7"/>
    <mergeCell ref="D8:E8"/>
    <mergeCell ref="D9:E9"/>
    <mergeCell ref="D10:E10"/>
    <mergeCell ref="D11:E11"/>
    <mergeCell ref="A6:C6"/>
    <mergeCell ref="A10:C10"/>
    <mergeCell ref="B9:C9"/>
    <mergeCell ref="A5:G5"/>
  </mergeCells>
  <dataValidations count="1">
    <dataValidation allowBlank="1" showInputMessage="1" showErrorMessage="1" errorTitle="توضیحات رو نخوندی" error="فقط خانه های زرد رنگ رو تکمیل کن" sqref="C35:C1048576 I26:XFD26 J1:XFD25 A26:B1048576 C26:C33 A1:A25 D27:XFD1048576 D26:G26 B6:I25"/>
  </dataValidations>
  <hyperlinks>
    <hyperlink ref="A2" r:id="rId1"/>
    <hyperlink ref="F2" r:id="rId2"/>
  </hyperlinks>
  <printOptions horizontalCentered="1"/>
  <pageMargins left="0.7" right="0.7" top="0.75" bottom="0.75" header="0.3" footer="0.3"/>
  <pageSetup paperSize="9" scale="54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'sheet 2'!$A$2:$A$7</xm:f>
          </x14:formula1>
          <xm:sqref>C34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5"/>
  <sheetViews>
    <sheetView rightToLeft="1" topLeftCell="A34" workbookViewId="0">
      <selection activeCell="C54" sqref="A22:L68"/>
    </sheetView>
  </sheetViews>
  <sheetFormatPr defaultColWidth="9.140625" defaultRowHeight="12.75" x14ac:dyDescent="0.2"/>
  <cols>
    <col min="1" max="1" width="16.28515625" style="20" customWidth="1"/>
    <col min="2" max="4" width="9.140625" style="20"/>
    <col min="5" max="5" width="10.42578125" style="20" customWidth="1"/>
    <col min="6" max="12" width="9.140625" style="20"/>
    <col min="13" max="13" width="8.7109375" style="20" customWidth="1"/>
    <col min="14" max="14" width="9.140625" style="20"/>
    <col min="15" max="15" width="37.85546875" style="20" bestFit="1" customWidth="1"/>
    <col min="16" max="16" width="14" style="20" bestFit="1" customWidth="1"/>
    <col min="17" max="17" width="14" style="20" customWidth="1"/>
    <col min="18" max="18" width="14.85546875" style="20" customWidth="1"/>
    <col min="19" max="19" width="9.42578125" style="20" bestFit="1" customWidth="1"/>
    <col min="20" max="20" width="9.140625" style="20"/>
    <col min="21" max="21" width="12.85546875" style="20" bestFit="1" customWidth="1"/>
    <col min="22" max="22" width="11.28515625" style="20" bestFit="1" customWidth="1"/>
    <col min="23" max="16384" width="9.140625" style="20"/>
  </cols>
  <sheetData>
    <row r="1" spans="1:17" x14ac:dyDescent="0.2">
      <c r="A1" s="19" t="s">
        <v>0</v>
      </c>
      <c r="B1" s="20">
        <f>Sheet1!B35</f>
        <v>5</v>
      </c>
      <c r="E1" s="21"/>
      <c r="G1" s="22"/>
      <c r="H1" s="22"/>
      <c r="I1" s="22"/>
      <c r="J1" s="22"/>
      <c r="K1" s="22"/>
      <c r="L1" s="19"/>
    </row>
    <row r="2" spans="1:17" x14ac:dyDescent="0.2">
      <c r="A2" s="20" t="s">
        <v>1</v>
      </c>
      <c r="B2" s="23">
        <v>1</v>
      </c>
      <c r="L2" s="19"/>
    </row>
    <row r="3" spans="1:17" x14ac:dyDescent="0.2">
      <c r="A3" s="20" t="s">
        <v>2</v>
      </c>
      <c r="B3" s="23">
        <v>2</v>
      </c>
      <c r="L3" s="19"/>
    </row>
    <row r="4" spans="1:17" x14ac:dyDescent="0.2">
      <c r="A4" s="20" t="s">
        <v>3</v>
      </c>
      <c r="B4" s="23">
        <v>3</v>
      </c>
    </row>
    <row r="5" spans="1:17" x14ac:dyDescent="0.2">
      <c r="A5" s="20" t="s">
        <v>4</v>
      </c>
      <c r="B5" s="23">
        <v>4</v>
      </c>
    </row>
    <row r="6" spans="1:17" ht="22.5" x14ac:dyDescent="0.65">
      <c r="A6" s="20" t="s">
        <v>5</v>
      </c>
      <c r="B6" s="23">
        <v>5</v>
      </c>
      <c r="O6" s="24"/>
    </row>
    <row r="7" spans="1:17" ht="22.5" x14ac:dyDescent="0.65">
      <c r="A7" s="20" t="s">
        <v>6</v>
      </c>
      <c r="B7" s="23">
        <v>6</v>
      </c>
      <c r="O7" s="24"/>
    </row>
    <row r="8" spans="1:17" ht="22.5" x14ac:dyDescent="0.65">
      <c r="A8" s="19" t="str">
        <f>CHOOSE(B1,A2,A3,A4,A5,A6,A7)</f>
        <v>فوق ليسانس</v>
      </c>
      <c r="B8" s="23">
        <f>CHOOSE(B1,1100,1200,1400,1700,2000,2300)</f>
        <v>2000</v>
      </c>
      <c r="O8" s="24"/>
      <c r="P8" s="25"/>
      <c r="Q8" s="25"/>
    </row>
    <row r="9" spans="1:17" ht="22.5" x14ac:dyDescent="0.65">
      <c r="O9" s="24"/>
    </row>
    <row r="10" spans="1:17" ht="22.5" x14ac:dyDescent="0.65">
      <c r="A10" s="19" t="s">
        <v>8</v>
      </c>
      <c r="B10" s="25">
        <f>Sheet1!C36</f>
        <v>1000</v>
      </c>
      <c r="C10" s="20">
        <f>ROUND(B10/2,0)</f>
        <v>500</v>
      </c>
      <c r="O10" s="24"/>
    </row>
    <row r="11" spans="1:17" ht="22.5" x14ac:dyDescent="0.65">
      <c r="B11" s="23">
        <f>IF(C10&lt;500,C10,500)</f>
        <v>500</v>
      </c>
      <c r="O11" s="24"/>
    </row>
    <row r="12" spans="1:17" ht="22.5" x14ac:dyDescent="0.65">
      <c r="B12" s="20" t="s">
        <v>47</v>
      </c>
      <c r="O12" s="24"/>
    </row>
    <row r="13" spans="1:17" ht="22.5" x14ac:dyDescent="0.65">
      <c r="A13" s="19" t="s">
        <v>9</v>
      </c>
      <c r="B13" s="20">
        <f>Sheet1!B35</f>
        <v>5</v>
      </c>
      <c r="C13" s="26"/>
      <c r="O13" s="24"/>
    </row>
    <row r="14" spans="1:17" ht="22.5" x14ac:dyDescent="0.65">
      <c r="A14" s="20" t="s">
        <v>1</v>
      </c>
      <c r="B14" s="23">
        <v>1</v>
      </c>
      <c r="O14" s="24"/>
    </row>
    <row r="15" spans="1:17" ht="22.5" x14ac:dyDescent="0.65">
      <c r="A15" s="20" t="s">
        <v>2</v>
      </c>
      <c r="B15" s="23">
        <v>2</v>
      </c>
      <c r="O15" s="24"/>
    </row>
    <row r="16" spans="1:17" ht="22.5" x14ac:dyDescent="0.65">
      <c r="A16" s="20" t="s">
        <v>3</v>
      </c>
      <c r="B16" s="23">
        <v>3</v>
      </c>
      <c r="O16" s="24"/>
    </row>
    <row r="17" spans="1:17" ht="22.5" x14ac:dyDescent="0.65">
      <c r="A17" s="20" t="s">
        <v>4</v>
      </c>
      <c r="B17" s="23">
        <v>4</v>
      </c>
      <c r="O17" s="24"/>
    </row>
    <row r="18" spans="1:17" ht="22.5" x14ac:dyDescent="0.65">
      <c r="A18" s="20" t="s">
        <v>5</v>
      </c>
      <c r="B18" s="23">
        <v>5</v>
      </c>
      <c r="O18" s="24"/>
    </row>
    <row r="19" spans="1:17" ht="22.5" x14ac:dyDescent="0.65">
      <c r="A19" s="20" t="s">
        <v>6</v>
      </c>
      <c r="B19" s="23">
        <v>6</v>
      </c>
      <c r="O19" s="24"/>
      <c r="P19" s="25"/>
      <c r="Q19" s="25"/>
    </row>
    <row r="20" spans="1:17" ht="22.5" x14ac:dyDescent="0.65">
      <c r="A20" s="19" t="str">
        <f>CHOOSE(B13,A14,A15,A16,A17,A18,A19)</f>
        <v>فوق ليسانس</v>
      </c>
      <c r="B20" s="23">
        <f>CHOOSE(B13,200,250,300,400,600,800)</f>
        <v>600</v>
      </c>
      <c r="O20" s="24"/>
    </row>
    <row r="21" spans="1:17" ht="22.5" x14ac:dyDescent="0.65">
      <c r="O21" s="24"/>
    </row>
    <row r="22" spans="1:17" ht="22.5" x14ac:dyDescent="0.65">
      <c r="A22" s="66"/>
      <c r="B22" s="66"/>
      <c r="C22" s="66"/>
      <c r="D22" s="66"/>
      <c r="E22" s="66"/>
      <c r="F22" s="66"/>
      <c r="G22" s="66"/>
      <c r="H22" s="66"/>
      <c r="I22" s="66"/>
      <c r="J22" s="73" t="s">
        <v>11</v>
      </c>
      <c r="K22" s="73" t="s">
        <v>12</v>
      </c>
      <c r="L22" s="73" t="s">
        <v>13</v>
      </c>
      <c r="O22" s="24"/>
    </row>
    <row r="23" spans="1:17" x14ac:dyDescent="0.2">
      <c r="A23" s="66"/>
      <c r="B23" s="66"/>
      <c r="C23" s="66"/>
      <c r="D23" s="66"/>
      <c r="E23" s="66"/>
      <c r="F23" s="66"/>
      <c r="G23" s="66"/>
      <c r="H23" s="66"/>
      <c r="I23" s="66"/>
      <c r="J23" s="66"/>
      <c r="K23" s="70">
        <f>J38</f>
        <v>0</v>
      </c>
      <c r="L23" s="70">
        <f>K38</f>
        <v>0</v>
      </c>
    </row>
    <row r="24" spans="1:17" x14ac:dyDescent="0.2">
      <c r="A24" s="76" t="s">
        <v>10</v>
      </c>
      <c r="B24" s="73" t="s">
        <v>11</v>
      </c>
      <c r="C24" s="73" t="s">
        <v>12</v>
      </c>
      <c r="D24" s="73" t="s">
        <v>13</v>
      </c>
      <c r="E24" s="66" t="s">
        <v>14</v>
      </c>
      <c r="F24" s="66"/>
      <c r="G24" s="77" t="s">
        <v>28</v>
      </c>
      <c r="H24" s="66"/>
      <c r="I24" s="66"/>
      <c r="J24" s="78">
        <f t="shared" ref="J24:L29" si="0">B25</f>
        <v>0</v>
      </c>
      <c r="K24" s="78">
        <f t="shared" si="0"/>
        <v>0</v>
      </c>
      <c r="L24" s="78">
        <f t="shared" si="0"/>
        <v>0</v>
      </c>
      <c r="O24" s="28"/>
      <c r="P24" s="29"/>
      <c r="Q24" s="29"/>
    </row>
    <row r="25" spans="1:17" ht="22.5" x14ac:dyDescent="0.65">
      <c r="A25" s="66" t="s">
        <v>1</v>
      </c>
      <c r="B25" s="78">
        <f>Sheet1!B41</f>
        <v>0</v>
      </c>
      <c r="C25" s="78">
        <f>Sheet1!C41</f>
        <v>0</v>
      </c>
      <c r="D25" s="78">
        <f>Sheet1!D41</f>
        <v>0</v>
      </c>
      <c r="E25" s="78">
        <f t="shared" ref="E25:E31" si="1">D25*360+C25*30+B25</f>
        <v>0</v>
      </c>
      <c r="F25" s="79">
        <f>ROUND(E25*10/360,0)</f>
        <v>0</v>
      </c>
      <c r="G25" s="77">
        <v>10</v>
      </c>
      <c r="H25" s="66"/>
      <c r="I25" s="66"/>
      <c r="J25" s="78">
        <f t="shared" si="0"/>
        <v>0</v>
      </c>
      <c r="K25" s="78">
        <f t="shared" si="0"/>
        <v>0</v>
      </c>
      <c r="L25" s="78">
        <f t="shared" si="0"/>
        <v>0</v>
      </c>
      <c r="O25" s="24"/>
      <c r="P25" s="29"/>
      <c r="Q25" s="29"/>
    </row>
    <row r="26" spans="1:17" ht="22.5" x14ac:dyDescent="0.65">
      <c r="A26" s="66" t="s">
        <v>2</v>
      </c>
      <c r="B26" s="78">
        <f>Sheet1!B42</f>
        <v>0</v>
      </c>
      <c r="C26" s="78">
        <f>Sheet1!C42</f>
        <v>0</v>
      </c>
      <c r="D26" s="78">
        <f>Sheet1!D42</f>
        <v>0</v>
      </c>
      <c r="E26" s="78">
        <f t="shared" si="1"/>
        <v>0</v>
      </c>
      <c r="F26" s="79">
        <f>ROUND(E26*15/360,0)</f>
        <v>0</v>
      </c>
      <c r="G26" s="77">
        <v>15</v>
      </c>
      <c r="H26" s="66"/>
      <c r="I26" s="66"/>
      <c r="J26" s="78">
        <f t="shared" si="0"/>
        <v>0</v>
      </c>
      <c r="K26" s="78">
        <f t="shared" si="0"/>
        <v>0</v>
      </c>
      <c r="L26" s="78">
        <f t="shared" si="0"/>
        <v>0</v>
      </c>
      <c r="O26" s="24"/>
    </row>
    <row r="27" spans="1:17" x14ac:dyDescent="0.2">
      <c r="A27" s="66" t="s">
        <v>3</v>
      </c>
      <c r="B27" s="78">
        <f>Sheet1!B43</f>
        <v>0</v>
      </c>
      <c r="C27" s="78">
        <f>Sheet1!C43</f>
        <v>0</v>
      </c>
      <c r="D27" s="78">
        <f>Sheet1!D43</f>
        <v>0</v>
      </c>
      <c r="E27" s="78">
        <f t="shared" si="1"/>
        <v>0</v>
      </c>
      <c r="F27" s="79">
        <f>ROUND(E27*20/360,0)</f>
        <v>0</v>
      </c>
      <c r="G27" s="77">
        <v>20</v>
      </c>
      <c r="H27" s="66"/>
      <c r="I27" s="66"/>
      <c r="J27" s="78">
        <f t="shared" si="0"/>
        <v>0</v>
      </c>
      <c r="K27" s="78">
        <f t="shared" si="0"/>
        <v>0</v>
      </c>
      <c r="L27" s="78">
        <f t="shared" si="0"/>
        <v>0</v>
      </c>
      <c r="O27" s="28"/>
    </row>
    <row r="28" spans="1:17" x14ac:dyDescent="0.2">
      <c r="A28" s="66" t="s">
        <v>4</v>
      </c>
      <c r="B28" s="78">
        <f>Sheet1!B44</f>
        <v>0</v>
      </c>
      <c r="C28" s="78">
        <f>Sheet1!C44</f>
        <v>0</v>
      </c>
      <c r="D28" s="78">
        <f>Sheet1!D44</f>
        <v>0</v>
      </c>
      <c r="E28" s="78">
        <f t="shared" si="1"/>
        <v>0</v>
      </c>
      <c r="F28" s="79">
        <f>ROUND(E28*25/360,0)</f>
        <v>0</v>
      </c>
      <c r="G28" s="77">
        <v>25</v>
      </c>
      <c r="H28" s="66"/>
      <c r="I28" s="66"/>
      <c r="J28" s="78">
        <f t="shared" si="0"/>
        <v>0</v>
      </c>
      <c r="K28" s="78">
        <f t="shared" si="0"/>
        <v>0</v>
      </c>
      <c r="L28" s="78">
        <f t="shared" si="0"/>
        <v>0</v>
      </c>
    </row>
    <row r="29" spans="1:17" x14ac:dyDescent="0.2">
      <c r="A29" s="66" t="s">
        <v>5</v>
      </c>
      <c r="B29" s="78">
        <f>Sheet1!B45</f>
        <v>0</v>
      </c>
      <c r="C29" s="78">
        <f>Sheet1!C45</f>
        <v>0</v>
      </c>
      <c r="D29" s="78">
        <f>Sheet1!D45</f>
        <v>0</v>
      </c>
      <c r="E29" s="78">
        <f t="shared" si="1"/>
        <v>0</v>
      </c>
      <c r="F29" s="79">
        <f>ROUND(E29*30/360,0)</f>
        <v>0</v>
      </c>
      <c r="G29" s="77">
        <v>30</v>
      </c>
      <c r="H29" s="66"/>
      <c r="I29" s="66"/>
      <c r="J29" s="78">
        <f t="shared" si="0"/>
        <v>0</v>
      </c>
      <c r="K29" s="78">
        <f t="shared" si="0"/>
        <v>0</v>
      </c>
      <c r="L29" s="78">
        <f t="shared" si="0"/>
        <v>0</v>
      </c>
    </row>
    <row r="30" spans="1:17" x14ac:dyDescent="0.2">
      <c r="A30" s="66" t="s">
        <v>6</v>
      </c>
      <c r="B30" s="78">
        <f>Sheet1!B46</f>
        <v>0</v>
      </c>
      <c r="C30" s="78">
        <f>Sheet1!C46</f>
        <v>0</v>
      </c>
      <c r="D30" s="78">
        <f>Sheet1!D46</f>
        <v>0</v>
      </c>
      <c r="E30" s="78">
        <f t="shared" si="1"/>
        <v>0</v>
      </c>
      <c r="F30" s="79">
        <f>ROUND(E30*35/360,0)</f>
        <v>0</v>
      </c>
      <c r="G30" s="77">
        <v>35</v>
      </c>
      <c r="H30" s="66"/>
      <c r="I30" s="66"/>
      <c r="J30" s="78"/>
      <c r="K30" s="78"/>
      <c r="L30" s="78"/>
    </row>
    <row r="31" spans="1:17" x14ac:dyDescent="0.2">
      <c r="A31" s="76" t="s">
        <v>17</v>
      </c>
      <c r="B31" s="70"/>
      <c r="C31" s="70"/>
      <c r="D31" s="70"/>
      <c r="E31" s="78">
        <f t="shared" si="1"/>
        <v>0</v>
      </c>
      <c r="F31" s="79"/>
      <c r="G31" s="66"/>
      <c r="H31" s="66"/>
      <c r="I31" s="66"/>
      <c r="J31" s="78">
        <f t="shared" ref="J31:L35" si="2">B32</f>
        <v>0</v>
      </c>
      <c r="K31" s="78">
        <f t="shared" si="2"/>
        <v>0</v>
      </c>
      <c r="L31" s="78">
        <f t="shared" si="2"/>
        <v>0</v>
      </c>
      <c r="P31" s="30"/>
      <c r="Q31" s="30"/>
    </row>
    <row r="32" spans="1:17" x14ac:dyDescent="0.2">
      <c r="A32" s="66" t="s">
        <v>1</v>
      </c>
      <c r="B32" s="70"/>
      <c r="C32" s="70"/>
      <c r="D32" s="70"/>
      <c r="E32" s="78">
        <f>D32*360+C32*30+B32</f>
        <v>0</v>
      </c>
      <c r="F32" s="79">
        <f>ROUND(E32*10/360,0)</f>
        <v>0</v>
      </c>
      <c r="G32" s="77">
        <v>10</v>
      </c>
      <c r="H32" s="66"/>
      <c r="I32" s="66"/>
      <c r="J32" s="78">
        <f t="shared" si="2"/>
        <v>0</v>
      </c>
      <c r="K32" s="78">
        <f t="shared" si="2"/>
        <v>0</v>
      </c>
      <c r="L32" s="78">
        <f t="shared" si="2"/>
        <v>0</v>
      </c>
    </row>
    <row r="33" spans="1:22" x14ac:dyDescent="0.2">
      <c r="A33" s="66" t="s">
        <v>2</v>
      </c>
      <c r="B33" s="70"/>
      <c r="C33" s="70"/>
      <c r="D33" s="70"/>
      <c r="E33" s="78">
        <f>D33*360+C33*30+B33</f>
        <v>0</v>
      </c>
      <c r="F33" s="79">
        <f>ROUND(E33*15/360,0)</f>
        <v>0</v>
      </c>
      <c r="G33" s="77">
        <v>15</v>
      </c>
      <c r="H33" s="66"/>
      <c r="I33" s="66"/>
      <c r="J33" s="78">
        <f t="shared" si="2"/>
        <v>0</v>
      </c>
      <c r="K33" s="78">
        <f t="shared" si="2"/>
        <v>0</v>
      </c>
      <c r="L33" s="78">
        <f t="shared" si="2"/>
        <v>0</v>
      </c>
    </row>
    <row r="34" spans="1:22" ht="22.5" x14ac:dyDescent="0.65">
      <c r="A34" s="66" t="s">
        <v>3</v>
      </c>
      <c r="B34" s="70"/>
      <c r="C34" s="70"/>
      <c r="D34" s="70"/>
      <c r="E34" s="78">
        <f>D34*360+C34*30+B34</f>
        <v>0</v>
      </c>
      <c r="F34" s="79">
        <f>ROUND(E34*20/360,0)</f>
        <v>0</v>
      </c>
      <c r="G34" s="77">
        <v>20</v>
      </c>
      <c r="H34" s="66"/>
      <c r="I34" s="66"/>
      <c r="J34" s="78">
        <f t="shared" si="2"/>
        <v>0</v>
      </c>
      <c r="K34" s="78">
        <f t="shared" si="2"/>
        <v>0</v>
      </c>
      <c r="L34" s="78">
        <f t="shared" si="2"/>
        <v>0</v>
      </c>
      <c r="O34" s="24"/>
      <c r="P34" s="29"/>
      <c r="Q34" s="31"/>
      <c r="S34" s="32"/>
      <c r="U34" s="33"/>
      <c r="V34" s="34"/>
    </row>
    <row r="35" spans="1:22" ht="22.5" x14ac:dyDescent="0.65">
      <c r="A35" s="66" t="s">
        <v>4</v>
      </c>
      <c r="B35" s="70"/>
      <c r="C35" s="70"/>
      <c r="D35" s="70"/>
      <c r="E35" s="78">
        <f>D35*360+C35*30+B35</f>
        <v>0</v>
      </c>
      <c r="F35" s="79">
        <f>ROUND(E35*25/360,0)</f>
        <v>0</v>
      </c>
      <c r="G35" s="77">
        <v>25</v>
      </c>
      <c r="H35" s="66"/>
      <c r="I35" s="66"/>
      <c r="J35" s="78">
        <f t="shared" si="2"/>
        <v>0</v>
      </c>
      <c r="K35" s="78">
        <f t="shared" si="2"/>
        <v>0</v>
      </c>
      <c r="L35" s="78">
        <f t="shared" si="2"/>
        <v>0</v>
      </c>
      <c r="O35" s="24"/>
      <c r="P35" s="29"/>
      <c r="Q35" s="31"/>
      <c r="S35" s="32"/>
      <c r="U35" s="33"/>
      <c r="V35" s="33"/>
    </row>
    <row r="36" spans="1:22" ht="22.5" x14ac:dyDescent="0.65">
      <c r="A36" s="66" t="s">
        <v>5</v>
      </c>
      <c r="B36" s="70"/>
      <c r="C36" s="70"/>
      <c r="D36" s="70"/>
      <c r="E36" s="78">
        <f>D36*360+C36*30+B36</f>
        <v>0</v>
      </c>
      <c r="F36" s="79">
        <f>ROUND(E36*30/360,0)</f>
        <v>0</v>
      </c>
      <c r="G36" s="77">
        <v>30</v>
      </c>
      <c r="H36" s="66"/>
      <c r="I36" s="66"/>
      <c r="J36" s="70">
        <f>SUM(J24:J35)</f>
        <v>0</v>
      </c>
      <c r="K36" s="70">
        <f>SUM(K23:K35)</f>
        <v>0</v>
      </c>
      <c r="L36" s="66"/>
      <c r="O36" s="24"/>
      <c r="P36" s="29"/>
      <c r="Q36" s="31"/>
      <c r="S36" s="32"/>
      <c r="U36" s="33"/>
      <c r="V36" s="33"/>
    </row>
    <row r="37" spans="1:22" ht="22.5" x14ac:dyDescent="0.65">
      <c r="A37" s="66" t="s">
        <v>48</v>
      </c>
      <c r="B37" s="78">
        <f>J37</f>
        <v>0</v>
      </c>
      <c r="C37" s="78">
        <f>K37</f>
        <v>0</v>
      </c>
      <c r="D37" s="78">
        <f>L37</f>
        <v>0</v>
      </c>
      <c r="E37" s="66"/>
      <c r="F37" s="79">
        <f>ROUND(SUM(F25:F36),0)</f>
        <v>0</v>
      </c>
      <c r="G37" s="77"/>
      <c r="H37" s="66"/>
      <c r="I37" s="66"/>
      <c r="J37" s="70">
        <f>MOD(J36,30)</f>
        <v>0</v>
      </c>
      <c r="K37" s="70">
        <f>MOD(K36,12)</f>
        <v>0</v>
      </c>
      <c r="L37" s="70">
        <f>SUM(L23:L35)</f>
        <v>0</v>
      </c>
      <c r="O37" s="24"/>
      <c r="P37" s="29"/>
      <c r="Q37" s="31"/>
      <c r="S37" s="32"/>
      <c r="U37" s="33"/>
      <c r="V37" s="33"/>
    </row>
    <row r="38" spans="1:22" ht="22.5" x14ac:dyDescent="0.65">
      <c r="A38" s="66"/>
      <c r="B38" s="73"/>
      <c r="C38" s="66"/>
      <c r="D38" s="66"/>
      <c r="E38" s="66"/>
      <c r="F38" s="66"/>
      <c r="G38" s="66"/>
      <c r="H38" s="66"/>
      <c r="I38" s="66"/>
      <c r="J38" s="70">
        <f>INT((J24+J25+J26+J27+J28+J29+J31+J32+J33+J34+J35)/30)</f>
        <v>0</v>
      </c>
      <c r="K38" s="70">
        <f>INT((K23+K24+K25+K26+K27+K28+K29+K31+K32+K33+K34+K35)/12)</f>
        <v>0</v>
      </c>
      <c r="L38" s="66"/>
      <c r="M38" s="25"/>
      <c r="O38" s="24"/>
      <c r="P38" s="29"/>
      <c r="Q38" s="31"/>
      <c r="S38" s="32"/>
      <c r="U38" s="33"/>
      <c r="V38" s="33"/>
    </row>
    <row r="39" spans="1:22" ht="22.5" x14ac:dyDescent="0.65">
      <c r="A39" s="66"/>
      <c r="B39" s="66"/>
      <c r="C39" s="66"/>
      <c r="D39" s="66"/>
      <c r="E39" s="66"/>
      <c r="F39" s="66"/>
      <c r="G39" s="66"/>
      <c r="H39" s="66"/>
      <c r="I39" s="66"/>
      <c r="J39" s="73" t="s">
        <v>11</v>
      </c>
      <c r="K39" s="78">
        <f>J48</f>
        <v>0</v>
      </c>
      <c r="L39" s="78">
        <f>K48</f>
        <v>0</v>
      </c>
      <c r="O39" s="24"/>
      <c r="P39" s="29"/>
      <c r="Q39" s="31"/>
      <c r="S39" s="32"/>
      <c r="U39" s="33"/>
      <c r="V39" s="33"/>
    </row>
    <row r="40" spans="1:22" ht="22.5" x14ac:dyDescent="0.65">
      <c r="A40" s="76" t="s">
        <v>15</v>
      </c>
      <c r="B40" s="73" t="s">
        <v>11</v>
      </c>
      <c r="C40" s="73" t="s">
        <v>12</v>
      </c>
      <c r="D40" s="73" t="s">
        <v>13</v>
      </c>
      <c r="E40" s="66" t="s">
        <v>16</v>
      </c>
      <c r="F40" s="66"/>
      <c r="G40" s="73" t="s">
        <v>28</v>
      </c>
      <c r="H40" s="66"/>
      <c r="I40" s="66"/>
      <c r="J40" s="70">
        <f t="shared" ref="J40:L45" si="3">B41</f>
        <v>0</v>
      </c>
      <c r="K40" s="70">
        <f t="shared" si="3"/>
        <v>0</v>
      </c>
      <c r="L40" s="70">
        <f t="shared" si="3"/>
        <v>0</v>
      </c>
      <c r="O40" s="24"/>
      <c r="P40" s="29"/>
      <c r="Q40" s="31"/>
      <c r="S40" s="32"/>
      <c r="U40" s="33"/>
      <c r="V40" s="33"/>
    </row>
    <row r="41" spans="1:22" ht="22.5" x14ac:dyDescent="0.65">
      <c r="A41" s="66" t="s">
        <v>1</v>
      </c>
      <c r="B41" s="70">
        <f>Sheet1!G41</f>
        <v>0</v>
      </c>
      <c r="C41" s="70">
        <f>Sheet1!H41</f>
        <v>0</v>
      </c>
      <c r="D41" s="70">
        <f>Sheet1!I41</f>
        <v>0</v>
      </c>
      <c r="E41" s="78">
        <f t="shared" ref="E41:E46" si="4">D41*360+C41*30+B41</f>
        <v>0</v>
      </c>
      <c r="F41" s="80">
        <f>ROUND(E41*8/360,0)</f>
        <v>0</v>
      </c>
      <c r="G41" s="77">
        <v>8</v>
      </c>
      <c r="H41" s="66"/>
      <c r="I41" s="66"/>
      <c r="J41" s="70">
        <f t="shared" si="3"/>
        <v>0</v>
      </c>
      <c r="K41" s="70">
        <f t="shared" si="3"/>
        <v>0</v>
      </c>
      <c r="L41" s="70">
        <f t="shared" si="3"/>
        <v>0</v>
      </c>
      <c r="O41" s="24"/>
      <c r="P41" s="29"/>
      <c r="Q41" s="31"/>
      <c r="S41" s="32"/>
      <c r="U41" s="33"/>
      <c r="V41" s="33"/>
    </row>
    <row r="42" spans="1:22" ht="22.5" x14ac:dyDescent="0.65">
      <c r="A42" s="66" t="s">
        <v>2</v>
      </c>
      <c r="B42" s="70">
        <f>Sheet1!G42</f>
        <v>0</v>
      </c>
      <c r="C42" s="70">
        <f>Sheet1!H42</f>
        <v>0</v>
      </c>
      <c r="D42" s="70">
        <f>Sheet1!I42</f>
        <v>0</v>
      </c>
      <c r="E42" s="78">
        <f t="shared" si="4"/>
        <v>0</v>
      </c>
      <c r="F42" s="80">
        <f>ROUND(E42*10/360,0)</f>
        <v>0</v>
      </c>
      <c r="G42" s="77">
        <v>10</v>
      </c>
      <c r="H42" s="66"/>
      <c r="I42" s="66"/>
      <c r="J42" s="70">
        <f t="shared" si="3"/>
        <v>0</v>
      </c>
      <c r="K42" s="70">
        <f t="shared" si="3"/>
        <v>0</v>
      </c>
      <c r="L42" s="70">
        <f t="shared" si="3"/>
        <v>0</v>
      </c>
      <c r="O42" s="24"/>
      <c r="P42" s="29"/>
      <c r="Q42" s="31"/>
      <c r="S42" s="32"/>
      <c r="U42" s="33"/>
      <c r="V42" s="33"/>
    </row>
    <row r="43" spans="1:22" x14ac:dyDescent="0.2">
      <c r="A43" s="66" t="s">
        <v>3</v>
      </c>
      <c r="B43" s="70">
        <f>Sheet1!G43</f>
        <v>0</v>
      </c>
      <c r="C43" s="70">
        <f>Sheet1!H43</f>
        <v>0</v>
      </c>
      <c r="D43" s="70">
        <f>Sheet1!I43</f>
        <v>0</v>
      </c>
      <c r="E43" s="78">
        <f t="shared" si="4"/>
        <v>0</v>
      </c>
      <c r="F43" s="80">
        <f>ROUND(E43*12/360,0)</f>
        <v>0</v>
      </c>
      <c r="G43" s="77">
        <v>12</v>
      </c>
      <c r="H43" s="66"/>
      <c r="I43" s="66"/>
      <c r="J43" s="70">
        <f t="shared" si="3"/>
        <v>0</v>
      </c>
      <c r="K43" s="70">
        <f t="shared" si="3"/>
        <v>0</v>
      </c>
      <c r="L43" s="70">
        <f t="shared" si="3"/>
        <v>0</v>
      </c>
      <c r="P43" s="33"/>
      <c r="Q43" s="31"/>
      <c r="S43" s="32"/>
      <c r="U43" s="34"/>
      <c r="V43" s="33"/>
    </row>
    <row r="44" spans="1:22" x14ac:dyDescent="0.2">
      <c r="A44" s="66" t="s">
        <v>4</v>
      </c>
      <c r="B44" s="70">
        <f>Sheet1!G44</f>
        <v>0</v>
      </c>
      <c r="C44" s="70">
        <f>Sheet1!H44</f>
        <v>0</v>
      </c>
      <c r="D44" s="70">
        <f>Sheet1!I44</f>
        <v>0</v>
      </c>
      <c r="E44" s="78">
        <f t="shared" si="4"/>
        <v>0</v>
      </c>
      <c r="F44" s="80">
        <f>ROUND(E44*14/360,0)</f>
        <v>0</v>
      </c>
      <c r="G44" s="77">
        <v>14</v>
      </c>
      <c r="H44" s="66"/>
      <c r="I44" s="66"/>
      <c r="J44" s="70">
        <f t="shared" si="3"/>
        <v>0</v>
      </c>
      <c r="K44" s="70">
        <f t="shared" si="3"/>
        <v>0</v>
      </c>
      <c r="L44" s="70">
        <f t="shared" si="3"/>
        <v>0</v>
      </c>
      <c r="P44" s="33"/>
    </row>
    <row r="45" spans="1:22" x14ac:dyDescent="0.2">
      <c r="A45" s="66" t="s">
        <v>5</v>
      </c>
      <c r="B45" s="70">
        <f>Sheet1!G45</f>
        <v>0</v>
      </c>
      <c r="C45" s="70">
        <f>Sheet1!H45</f>
        <v>0</v>
      </c>
      <c r="D45" s="70">
        <f>Sheet1!I45</f>
        <v>0</v>
      </c>
      <c r="E45" s="78">
        <f t="shared" si="4"/>
        <v>0</v>
      </c>
      <c r="F45" s="80">
        <f>ROUND(E45*16/360,0)</f>
        <v>0</v>
      </c>
      <c r="G45" s="77">
        <v>16</v>
      </c>
      <c r="H45" s="66"/>
      <c r="I45" s="66"/>
      <c r="J45" s="70">
        <f t="shared" si="3"/>
        <v>0</v>
      </c>
      <c r="K45" s="70">
        <f t="shared" si="3"/>
        <v>0</v>
      </c>
      <c r="L45" s="70">
        <f t="shared" si="3"/>
        <v>0</v>
      </c>
    </row>
    <row r="46" spans="1:22" x14ac:dyDescent="0.2">
      <c r="A46" s="66" t="s">
        <v>6</v>
      </c>
      <c r="B46" s="70">
        <f>Sheet1!G46</f>
        <v>0</v>
      </c>
      <c r="C46" s="70">
        <f>Sheet1!H46</f>
        <v>0</v>
      </c>
      <c r="D46" s="70">
        <f>Sheet1!I46</f>
        <v>0</v>
      </c>
      <c r="E46" s="78">
        <f t="shared" si="4"/>
        <v>0</v>
      </c>
      <c r="F46" s="80">
        <f>ROUND(E46*18/360,0)</f>
        <v>0</v>
      </c>
      <c r="G46" s="77">
        <v>18</v>
      </c>
      <c r="H46" s="66"/>
      <c r="I46" s="66"/>
      <c r="J46" s="70">
        <f>SUM(J40:J45)</f>
        <v>0</v>
      </c>
      <c r="K46" s="70">
        <f>SUM(K39:K45)</f>
        <v>0</v>
      </c>
      <c r="L46" s="66"/>
    </row>
    <row r="47" spans="1:22" x14ac:dyDescent="0.2">
      <c r="A47" s="66" t="s">
        <v>49</v>
      </c>
      <c r="B47" s="70">
        <f>J47</f>
        <v>0</v>
      </c>
      <c r="C47" s="70">
        <f>K47</f>
        <v>0</v>
      </c>
      <c r="D47" s="70">
        <f>L47</f>
        <v>0</v>
      </c>
      <c r="E47" s="66"/>
      <c r="F47" s="80">
        <f>ROUND(SUM(F41:F46),0)</f>
        <v>0</v>
      </c>
      <c r="G47" s="66"/>
      <c r="H47" s="66"/>
      <c r="I47" s="66"/>
      <c r="J47" s="70">
        <f>MOD(J46,30)</f>
        <v>0</v>
      </c>
      <c r="K47" s="70">
        <f>MOD(K46,12)</f>
        <v>0</v>
      </c>
      <c r="L47" s="70">
        <f>SUM(L39:L45)</f>
        <v>0</v>
      </c>
    </row>
    <row r="48" spans="1:22" x14ac:dyDescent="0.2">
      <c r="A48" s="66"/>
      <c r="B48" s="66"/>
      <c r="C48" s="66"/>
      <c r="D48" s="66"/>
      <c r="E48" s="66"/>
      <c r="F48" s="66"/>
      <c r="G48" s="66"/>
      <c r="H48" s="66"/>
      <c r="I48" s="66"/>
      <c r="J48" s="70">
        <f>INT((J40+J41+J42+J43+J44+J45)/30)</f>
        <v>0</v>
      </c>
      <c r="K48" s="70">
        <f>INT((K39+K40+K41+K42+K43+K44+K45)/12)</f>
        <v>0</v>
      </c>
      <c r="L48" s="66"/>
    </row>
    <row r="49" spans="1:12" x14ac:dyDescent="0.2">
      <c r="A49" s="81" t="s">
        <v>18</v>
      </c>
      <c r="B49" s="73" t="s">
        <v>11</v>
      </c>
      <c r="C49" s="73" t="s">
        <v>12</v>
      </c>
      <c r="D49" s="73" t="s">
        <v>13</v>
      </c>
      <c r="E49" s="66" t="s">
        <v>21</v>
      </c>
      <c r="F49" s="66"/>
      <c r="G49" s="66"/>
      <c r="H49" s="66"/>
      <c r="I49" s="66"/>
      <c r="J49" s="66"/>
      <c r="K49" s="66"/>
      <c r="L49" s="66"/>
    </row>
    <row r="50" spans="1:12" x14ac:dyDescent="0.2">
      <c r="A50" s="66" t="s">
        <v>19</v>
      </c>
      <c r="B50" s="78">
        <f>Sheet1!G36</f>
        <v>0</v>
      </c>
      <c r="C50" s="78">
        <f>Sheet1!H36</f>
        <v>0</v>
      </c>
      <c r="D50" s="78">
        <f>Sheet1!I36</f>
        <v>0</v>
      </c>
      <c r="E50" s="78">
        <f>D50*360+C50*30+B50</f>
        <v>0</v>
      </c>
      <c r="F50" s="75">
        <f>E50/360*0.01</f>
        <v>0</v>
      </c>
      <c r="G50" s="66">
        <f>IF(F50&lt;=0.1,F50,0.1)</f>
        <v>0</v>
      </c>
      <c r="H50" s="70">
        <f>'sheet 3'!B11</f>
        <v>3100</v>
      </c>
      <c r="I50" s="80">
        <f>ROUND(H50*G50,0)</f>
        <v>0</v>
      </c>
      <c r="J50" s="66"/>
      <c r="K50" s="66"/>
      <c r="L50" s="66"/>
    </row>
    <row r="51" spans="1:12" x14ac:dyDescent="0.2">
      <c r="A51" s="66" t="s">
        <v>20</v>
      </c>
      <c r="B51" s="78">
        <f>Sheet1!G37</f>
        <v>0</v>
      </c>
      <c r="C51" s="78">
        <f>Sheet1!H37</f>
        <v>0</v>
      </c>
      <c r="D51" s="78">
        <f>Sheet1!I37</f>
        <v>0</v>
      </c>
      <c r="E51" s="78">
        <f>D51*360+C51*30+B51</f>
        <v>0</v>
      </c>
      <c r="F51" s="75">
        <f>E51/360*0.02</f>
        <v>0</v>
      </c>
      <c r="G51" s="66">
        <f>IF(F51&lt;=0.2,F51,0.2)</f>
        <v>0</v>
      </c>
      <c r="H51" s="70">
        <f>'sheet 3'!B11</f>
        <v>3100</v>
      </c>
      <c r="I51" s="80">
        <f>ROUND(H51*G51,0)</f>
        <v>0</v>
      </c>
      <c r="J51" s="70"/>
      <c r="K51" s="66"/>
      <c r="L51" s="66"/>
    </row>
    <row r="52" spans="1:12" x14ac:dyDescent="0.2">
      <c r="A52" s="66"/>
      <c r="B52" s="66"/>
      <c r="C52" s="66"/>
      <c r="D52" s="66"/>
      <c r="E52" s="66"/>
      <c r="F52" s="66"/>
      <c r="G52" s="66">
        <f>SUM(G50:G51)</f>
        <v>0</v>
      </c>
      <c r="H52" s="66"/>
      <c r="I52" s="70">
        <f>SUM(I50:I51)</f>
        <v>0</v>
      </c>
      <c r="J52" s="75">
        <f>IF(G52&gt;=0/2,20%,G52)</f>
        <v>0.2</v>
      </c>
      <c r="K52" s="66"/>
      <c r="L52" s="66"/>
    </row>
    <row r="53" spans="1:12" x14ac:dyDescent="0.2">
      <c r="A53" s="66" t="s">
        <v>24</v>
      </c>
      <c r="B53" s="66" t="s">
        <v>25</v>
      </c>
      <c r="C53" s="66" t="s">
        <v>28</v>
      </c>
      <c r="D53" s="66" t="s">
        <v>27</v>
      </c>
      <c r="E53" s="66"/>
      <c r="F53" s="66"/>
      <c r="G53" s="66"/>
      <c r="H53" s="66"/>
      <c r="I53" s="66"/>
      <c r="J53" s="66"/>
      <c r="K53" s="66"/>
      <c r="L53" s="66"/>
    </row>
    <row r="54" spans="1:12" x14ac:dyDescent="0.2">
      <c r="A54" s="66"/>
      <c r="B54" s="66">
        <v>5</v>
      </c>
      <c r="C54" s="82" t="s">
        <v>30</v>
      </c>
      <c r="D54" s="73">
        <v>400</v>
      </c>
      <c r="E54" s="66"/>
      <c r="F54" s="66" t="s">
        <v>11</v>
      </c>
      <c r="G54" s="66" t="s">
        <v>12</v>
      </c>
      <c r="H54" s="66" t="s">
        <v>13</v>
      </c>
      <c r="I54" s="66"/>
      <c r="J54" s="66"/>
      <c r="K54" s="66"/>
      <c r="L54" s="66"/>
    </row>
    <row r="55" spans="1:12" x14ac:dyDescent="0.2">
      <c r="A55" s="66"/>
      <c r="B55" s="66">
        <v>10</v>
      </c>
      <c r="C55" s="82" t="s">
        <v>31</v>
      </c>
      <c r="D55" s="73">
        <v>500</v>
      </c>
      <c r="E55" s="66" t="s">
        <v>46</v>
      </c>
      <c r="F55" s="66"/>
      <c r="G55" s="66"/>
      <c r="H55" s="66"/>
      <c r="I55" s="66"/>
      <c r="J55" s="66"/>
      <c r="K55" s="66"/>
      <c r="L55" s="66"/>
    </row>
    <row r="56" spans="1:12" x14ac:dyDescent="0.2">
      <c r="A56" s="66"/>
      <c r="B56" s="66">
        <v>15</v>
      </c>
      <c r="C56" s="82" t="s">
        <v>32</v>
      </c>
      <c r="D56" s="73">
        <v>600</v>
      </c>
      <c r="E56" s="66"/>
      <c r="F56" s="66"/>
      <c r="G56" s="66"/>
      <c r="H56" s="66"/>
      <c r="I56" s="66"/>
      <c r="J56" s="66"/>
      <c r="K56" s="66"/>
      <c r="L56" s="66"/>
    </row>
    <row r="57" spans="1:12" x14ac:dyDescent="0.2">
      <c r="A57" s="66"/>
      <c r="B57" s="66">
        <v>20</v>
      </c>
      <c r="C57" s="82" t="s">
        <v>33</v>
      </c>
      <c r="D57" s="73">
        <v>700</v>
      </c>
      <c r="E57" s="66" t="s">
        <v>44</v>
      </c>
      <c r="F57" s="66"/>
      <c r="G57" s="66"/>
      <c r="H57" s="66"/>
      <c r="I57" s="66"/>
      <c r="J57" s="66"/>
      <c r="K57" s="66"/>
      <c r="L57" s="66"/>
    </row>
    <row r="58" spans="1:12" x14ac:dyDescent="0.2">
      <c r="A58" s="66"/>
      <c r="B58" s="66">
        <v>25</v>
      </c>
      <c r="C58" s="82" t="s">
        <v>34</v>
      </c>
      <c r="D58" s="73">
        <v>800</v>
      </c>
      <c r="E58" s="66"/>
      <c r="F58" s="66"/>
      <c r="G58" s="66"/>
      <c r="H58" s="66"/>
      <c r="I58" s="66"/>
      <c r="J58" s="66"/>
      <c r="K58" s="66"/>
      <c r="L58" s="66"/>
    </row>
    <row r="59" spans="1:12" x14ac:dyDescent="0.2">
      <c r="A59" s="66"/>
      <c r="B59" s="66">
        <v>30</v>
      </c>
      <c r="C59" s="82" t="s">
        <v>35</v>
      </c>
      <c r="D59" s="73">
        <v>900</v>
      </c>
      <c r="E59" s="66"/>
      <c r="F59" s="66"/>
      <c r="G59" s="66"/>
      <c r="H59" s="66"/>
      <c r="I59" s="66"/>
      <c r="J59" s="66"/>
      <c r="K59" s="66"/>
      <c r="L59" s="66"/>
    </row>
    <row r="60" spans="1:12" x14ac:dyDescent="0.2">
      <c r="A60" s="66"/>
      <c r="B60" s="66">
        <v>35</v>
      </c>
      <c r="C60" s="82" t="s">
        <v>36</v>
      </c>
      <c r="D60" s="73">
        <v>1000</v>
      </c>
      <c r="E60" s="66"/>
      <c r="F60" s="66"/>
      <c r="G60" s="66"/>
      <c r="H60" s="66"/>
      <c r="I60" s="66"/>
      <c r="J60" s="66"/>
      <c r="K60" s="66"/>
      <c r="L60" s="66"/>
    </row>
    <row r="61" spans="1:12" x14ac:dyDescent="0.2">
      <c r="A61" s="66"/>
      <c r="B61" s="66">
        <v>40</v>
      </c>
      <c r="C61" s="82" t="s">
        <v>37</v>
      </c>
      <c r="D61" s="73">
        <v>1100</v>
      </c>
      <c r="E61" s="66"/>
      <c r="F61" s="66"/>
      <c r="G61" s="66"/>
      <c r="H61" s="66"/>
      <c r="I61" s="66"/>
      <c r="J61" s="66"/>
      <c r="K61" s="66"/>
      <c r="L61" s="66"/>
    </row>
    <row r="62" spans="1:12" x14ac:dyDescent="0.2">
      <c r="A62" s="66"/>
      <c r="B62" s="66">
        <v>45</v>
      </c>
      <c r="C62" s="82" t="s">
        <v>38</v>
      </c>
      <c r="D62" s="73">
        <v>1200</v>
      </c>
      <c r="E62" s="66"/>
      <c r="F62" s="66"/>
      <c r="G62" s="66"/>
      <c r="H62" s="66"/>
      <c r="I62" s="66"/>
      <c r="J62" s="66"/>
      <c r="K62" s="66"/>
      <c r="L62" s="66"/>
    </row>
    <row r="63" spans="1:12" x14ac:dyDescent="0.2">
      <c r="A63" s="66"/>
      <c r="B63" s="66">
        <v>50</v>
      </c>
      <c r="C63" s="82" t="s">
        <v>39</v>
      </c>
      <c r="D63" s="73">
        <v>1300</v>
      </c>
      <c r="E63" s="66"/>
      <c r="F63" s="66"/>
      <c r="G63" s="66"/>
      <c r="H63" s="66"/>
      <c r="I63" s="66"/>
      <c r="J63" s="66"/>
      <c r="K63" s="66"/>
      <c r="L63" s="66"/>
    </row>
    <row r="64" spans="1:12" x14ac:dyDescent="0.2">
      <c r="A64" s="66"/>
      <c r="B64" s="66">
        <v>60</v>
      </c>
      <c r="C64" s="82" t="s">
        <v>40</v>
      </c>
      <c r="D64" s="73">
        <v>1500</v>
      </c>
      <c r="E64" s="66"/>
      <c r="F64" s="66"/>
      <c r="G64" s="66"/>
      <c r="H64" s="66"/>
      <c r="I64" s="66"/>
      <c r="J64" s="66"/>
      <c r="K64" s="66"/>
      <c r="L64" s="66"/>
    </row>
    <row r="65" spans="1:12" x14ac:dyDescent="0.2">
      <c r="A65" s="66"/>
      <c r="B65" s="66" t="s">
        <v>26</v>
      </c>
      <c r="C65" s="82" t="s">
        <v>41</v>
      </c>
      <c r="D65" s="73">
        <v>1550</v>
      </c>
      <c r="E65" s="66"/>
      <c r="F65" s="66"/>
      <c r="G65" s="66"/>
      <c r="H65" s="66"/>
      <c r="I65" s="66"/>
      <c r="J65" s="66"/>
      <c r="K65" s="66"/>
      <c r="L65" s="66"/>
    </row>
    <row r="66" spans="1:12" x14ac:dyDescent="0.2">
      <c r="A66" s="66"/>
      <c r="B66" s="66" t="s">
        <v>25</v>
      </c>
      <c r="C66" s="66">
        <v>0</v>
      </c>
      <c r="D66" s="73">
        <v>0</v>
      </c>
      <c r="E66" s="66" t="s">
        <v>29</v>
      </c>
      <c r="F66" s="66" t="s">
        <v>45</v>
      </c>
      <c r="G66" s="66"/>
      <c r="H66" s="66"/>
      <c r="I66" s="66"/>
      <c r="J66" s="66"/>
      <c r="K66" s="66"/>
      <c r="L66" s="66"/>
    </row>
    <row r="67" spans="1:12" x14ac:dyDescent="0.2">
      <c r="A67" s="66"/>
      <c r="B67" s="66"/>
      <c r="C67" s="66"/>
      <c r="D67" s="66"/>
      <c r="E67" s="70">
        <f>MAX(C66:D66)</f>
        <v>0</v>
      </c>
      <c r="F67" s="70">
        <f>ROUND(MIN(C66:D66)*0.25,0)</f>
        <v>0</v>
      </c>
      <c r="G67" s="66"/>
      <c r="H67" s="66"/>
      <c r="I67" s="66"/>
      <c r="J67" s="66"/>
      <c r="K67" s="66"/>
      <c r="L67" s="66"/>
    </row>
    <row r="68" spans="1:12" x14ac:dyDescent="0.2">
      <c r="A68" s="66" t="s">
        <v>24</v>
      </c>
      <c r="B68" s="79">
        <f>E67+F67</f>
        <v>0</v>
      </c>
      <c r="C68" s="66"/>
      <c r="D68" s="66"/>
      <c r="E68" s="66"/>
      <c r="F68" s="66"/>
      <c r="G68" s="66"/>
      <c r="H68" s="66"/>
      <c r="I68" s="66"/>
      <c r="J68" s="66"/>
      <c r="K68" s="66"/>
      <c r="L68" s="66"/>
    </row>
    <row r="72" spans="1:12" x14ac:dyDescent="0.2">
      <c r="B72" s="25"/>
    </row>
    <row r="73" spans="1:12" x14ac:dyDescent="0.2">
      <c r="B73" s="25"/>
    </row>
    <row r="74" spans="1:12" x14ac:dyDescent="0.2">
      <c r="A74" s="35"/>
      <c r="B74" s="23"/>
    </row>
    <row r="78" spans="1:12" x14ac:dyDescent="0.2">
      <c r="B78" s="25"/>
    </row>
    <row r="79" spans="1:12" x14ac:dyDescent="0.2">
      <c r="B79" s="25"/>
      <c r="E79" s="36"/>
    </row>
    <row r="80" spans="1:12" x14ac:dyDescent="0.2">
      <c r="B80" s="25"/>
    </row>
    <row r="81" spans="2:5" x14ac:dyDescent="0.2">
      <c r="B81" s="23"/>
    </row>
    <row r="86" spans="2:5" x14ac:dyDescent="0.2">
      <c r="B86" s="25"/>
      <c r="D86" s="25"/>
      <c r="E86" s="27"/>
    </row>
    <row r="87" spans="2:5" x14ac:dyDescent="0.2">
      <c r="B87" s="25"/>
      <c r="D87" s="25"/>
      <c r="E87" s="27"/>
    </row>
    <row r="88" spans="2:5" x14ac:dyDescent="0.2">
      <c r="B88" s="25"/>
    </row>
    <row r="93" spans="2:5" x14ac:dyDescent="0.2">
      <c r="B93" s="25"/>
    </row>
    <row r="95" spans="2:5" x14ac:dyDescent="0.2">
      <c r="B95" s="25"/>
    </row>
  </sheetData>
  <sheetProtection algorithmName="SHA-512" hashValue="VAj5ignO4yzHltL++wHOs8458+DXVhVCyXLu1NziFRRFl45HeXBgNtxry695IzFLJZ8uZ1WOw8+/1W1jgXDCbQ==" saltValue="2act6jSP4LKAvWJEbO8/zg==" spinCount="100000" sheet="1" objects="1" scenarios="1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6"/>
  </sheetPr>
  <dimension ref="A1:CR50"/>
  <sheetViews>
    <sheetView rightToLeft="1" workbookViewId="0">
      <selection activeCell="D26" sqref="A1:XFD1048576"/>
    </sheetView>
  </sheetViews>
  <sheetFormatPr defaultColWidth="9.140625" defaultRowHeight="12.75" x14ac:dyDescent="0.2"/>
  <cols>
    <col min="1" max="1" width="16" style="66" customWidth="1"/>
    <col min="2" max="2" width="13.28515625" style="66" customWidth="1"/>
    <col min="3" max="3" width="9.140625" style="66"/>
    <col min="4" max="4" width="13" style="66" customWidth="1"/>
    <col min="5" max="5" width="10.7109375" style="66" customWidth="1"/>
    <col min="6" max="6" width="13" style="66" customWidth="1"/>
    <col min="7" max="16384" width="9.140625" style="66"/>
  </cols>
  <sheetData>
    <row r="1" spans="1:96" x14ac:dyDescent="0.2">
      <c r="CP1" s="66" t="s">
        <v>11</v>
      </c>
      <c r="CQ1" s="66">
        <v>0</v>
      </c>
      <c r="CR1" s="66" t="s">
        <v>13</v>
      </c>
    </row>
    <row r="2" spans="1:96" x14ac:dyDescent="0.2">
      <c r="CP2" s="66">
        <v>1</v>
      </c>
      <c r="CQ2" s="66">
        <v>1</v>
      </c>
      <c r="CR2" s="66">
        <v>1350</v>
      </c>
    </row>
    <row r="3" spans="1:96" x14ac:dyDescent="0.2">
      <c r="A3" s="66" t="s">
        <v>23</v>
      </c>
      <c r="B3" s="70">
        <f>Sheet1!D7</f>
        <v>5520</v>
      </c>
      <c r="CP3" s="66">
        <v>2</v>
      </c>
      <c r="CQ3" s="66">
        <v>2</v>
      </c>
      <c r="CR3" s="66">
        <v>1351</v>
      </c>
    </row>
    <row r="4" spans="1:96" x14ac:dyDescent="0.2">
      <c r="A4" s="66" t="s">
        <v>22</v>
      </c>
      <c r="B4" s="70">
        <f>Sheet1!D8</f>
        <v>0</v>
      </c>
      <c r="G4" s="70"/>
      <c r="CP4" s="66">
        <v>3</v>
      </c>
      <c r="CQ4" s="66">
        <v>3</v>
      </c>
      <c r="CR4" s="66">
        <v>1352</v>
      </c>
    </row>
    <row r="5" spans="1:96" x14ac:dyDescent="0.2">
      <c r="B5" s="70"/>
      <c r="CP5" s="66">
        <v>4</v>
      </c>
      <c r="CQ5" s="66">
        <v>4</v>
      </c>
      <c r="CR5" s="66">
        <v>1353</v>
      </c>
    </row>
    <row r="6" spans="1:96" x14ac:dyDescent="0.2">
      <c r="A6" s="66" t="s">
        <v>0</v>
      </c>
      <c r="B6" s="70">
        <f>'sheet 2'!B8</f>
        <v>2000</v>
      </c>
      <c r="CP6" s="66">
        <v>5</v>
      </c>
      <c r="CQ6" s="66">
        <v>5</v>
      </c>
      <c r="CR6" s="66">
        <v>1354</v>
      </c>
    </row>
    <row r="7" spans="1:96" x14ac:dyDescent="0.2">
      <c r="A7" s="66" t="s">
        <v>8</v>
      </c>
      <c r="B7" s="70">
        <f>'sheet 2'!B11</f>
        <v>500</v>
      </c>
      <c r="CP7" s="66">
        <v>6</v>
      </c>
      <c r="CQ7" s="66">
        <v>6</v>
      </c>
      <c r="CR7" s="66">
        <v>1355</v>
      </c>
    </row>
    <row r="8" spans="1:96" x14ac:dyDescent="0.2">
      <c r="A8" s="66" t="s">
        <v>9</v>
      </c>
      <c r="B8" s="70">
        <f>'sheet 2'!B20</f>
        <v>600</v>
      </c>
      <c r="CP8" s="66">
        <v>7</v>
      </c>
      <c r="CQ8" s="66">
        <v>7</v>
      </c>
      <c r="CR8" s="66">
        <v>1356</v>
      </c>
    </row>
    <row r="9" spans="1:96" x14ac:dyDescent="0.2">
      <c r="A9" s="66" t="s">
        <v>10</v>
      </c>
      <c r="B9" s="70">
        <f>ROUND('sheet 2'!F37,0)</f>
        <v>0</v>
      </c>
      <c r="CP9" s="66">
        <v>8</v>
      </c>
      <c r="CQ9" s="66">
        <v>8</v>
      </c>
      <c r="CR9" s="66">
        <v>1357</v>
      </c>
    </row>
    <row r="10" spans="1:96" x14ac:dyDescent="0.2">
      <c r="A10" s="66" t="s">
        <v>15</v>
      </c>
      <c r="B10" s="70">
        <f>ROUND('sheet 2'!F47,0)</f>
        <v>0</v>
      </c>
      <c r="CP10" s="66">
        <v>9</v>
      </c>
      <c r="CQ10" s="66">
        <v>9</v>
      </c>
      <c r="CR10" s="66">
        <v>1358</v>
      </c>
    </row>
    <row r="11" spans="1:96" x14ac:dyDescent="0.2">
      <c r="A11" s="66" t="s">
        <v>7</v>
      </c>
      <c r="B11" s="70">
        <f>SUM(B6:B10)</f>
        <v>3100</v>
      </c>
      <c r="CP11" s="66">
        <v>10</v>
      </c>
      <c r="CQ11" s="66">
        <v>10</v>
      </c>
      <c r="CR11" s="66">
        <v>1359</v>
      </c>
    </row>
    <row r="12" spans="1:96" x14ac:dyDescent="0.2">
      <c r="A12" s="66" t="s">
        <v>75</v>
      </c>
      <c r="B12" s="70">
        <f>IF(B11&gt;F15,F16,B11)</f>
        <v>0</v>
      </c>
      <c r="CP12" s="66">
        <v>11</v>
      </c>
      <c r="CQ12" s="66">
        <v>11</v>
      </c>
      <c r="CR12" s="66">
        <v>1360</v>
      </c>
    </row>
    <row r="13" spans="1:96" x14ac:dyDescent="0.2">
      <c r="A13" s="66" t="s">
        <v>18</v>
      </c>
      <c r="B13" s="70">
        <f>'sheet 2'!I50</f>
        <v>0</v>
      </c>
      <c r="C13" s="71" t="s">
        <v>42</v>
      </c>
      <c r="D13" s="66" t="s">
        <v>83</v>
      </c>
      <c r="E13" s="72" t="s">
        <v>123</v>
      </c>
      <c r="CP13" s="66">
        <v>12</v>
      </c>
      <c r="CQ13" s="66">
        <v>12</v>
      </c>
      <c r="CR13" s="66">
        <v>1361</v>
      </c>
    </row>
    <row r="14" spans="1:96" x14ac:dyDescent="0.2">
      <c r="A14" s="66" t="s">
        <v>20</v>
      </c>
      <c r="B14" s="70">
        <f>'sheet 2'!I51</f>
        <v>0</v>
      </c>
      <c r="C14" s="70">
        <f>B13+B14</f>
        <v>0</v>
      </c>
      <c r="D14" s="66">
        <f>IF(C14&lt;=E14,C14,E14)</f>
        <v>0</v>
      </c>
      <c r="E14" s="66">
        <f>B11*0.2</f>
        <v>620</v>
      </c>
      <c r="F14" s="66" t="s">
        <v>82</v>
      </c>
      <c r="CP14" s="66">
        <v>13</v>
      </c>
      <c r="CR14" s="66">
        <v>1362</v>
      </c>
    </row>
    <row r="15" spans="1:96" x14ac:dyDescent="0.2">
      <c r="A15" s="66" t="s">
        <v>43</v>
      </c>
      <c r="B15" s="70">
        <f>B11+D14</f>
        <v>3100</v>
      </c>
      <c r="F15" s="73">
        <f>ROUND(((B3+B4)/1.5)*0.75,0)</f>
        <v>2760</v>
      </c>
      <c r="CP15" s="66">
        <v>14</v>
      </c>
      <c r="CR15" s="66">
        <v>1363</v>
      </c>
    </row>
    <row r="16" spans="1:96" x14ac:dyDescent="0.2">
      <c r="A16" s="66" t="s">
        <v>124</v>
      </c>
      <c r="B16" s="70">
        <f>IF(B15&gt;F15,F15,B15)</f>
        <v>2760</v>
      </c>
      <c r="CP16" s="66">
        <v>15</v>
      </c>
      <c r="CR16" s="66">
        <v>1364</v>
      </c>
    </row>
    <row r="17" spans="1:96" x14ac:dyDescent="0.2">
      <c r="A17" s="66" t="s">
        <v>76</v>
      </c>
      <c r="B17" s="74">
        <f>ROUND(B16*B18,0)</f>
        <v>4140</v>
      </c>
      <c r="CP17" s="66">
        <v>16</v>
      </c>
      <c r="CR17" s="66">
        <v>1365</v>
      </c>
    </row>
    <row r="18" spans="1:96" x14ac:dyDescent="0.2">
      <c r="A18" s="66" t="s">
        <v>77</v>
      </c>
      <c r="B18" s="75">
        <f>Sheet1!C32</f>
        <v>1.5</v>
      </c>
      <c r="CP18" s="66">
        <v>17</v>
      </c>
      <c r="CR18" s="66">
        <v>1366</v>
      </c>
    </row>
    <row r="19" spans="1:96" x14ac:dyDescent="0.2">
      <c r="CP19" s="66">
        <v>18</v>
      </c>
      <c r="CR19" s="66">
        <v>1367</v>
      </c>
    </row>
    <row r="20" spans="1:96" x14ac:dyDescent="0.2">
      <c r="CP20" s="66">
        <v>19</v>
      </c>
      <c r="CR20" s="66">
        <v>1368</v>
      </c>
    </row>
    <row r="21" spans="1:96" x14ac:dyDescent="0.2">
      <c r="CP21" s="66">
        <v>20</v>
      </c>
      <c r="CR21" s="66">
        <v>1369</v>
      </c>
    </row>
    <row r="22" spans="1:96" x14ac:dyDescent="0.2">
      <c r="CP22" s="66">
        <v>21</v>
      </c>
      <c r="CR22" s="66">
        <v>1370</v>
      </c>
    </row>
    <row r="23" spans="1:96" x14ac:dyDescent="0.2">
      <c r="CP23" s="66">
        <v>22</v>
      </c>
      <c r="CR23" s="66">
        <v>1371</v>
      </c>
    </row>
    <row r="24" spans="1:96" x14ac:dyDescent="0.2">
      <c r="CP24" s="66">
        <v>23</v>
      </c>
      <c r="CR24" s="66">
        <v>1372</v>
      </c>
    </row>
    <row r="25" spans="1:96" x14ac:dyDescent="0.2">
      <c r="CP25" s="66">
        <v>24</v>
      </c>
      <c r="CR25" s="66">
        <v>1373</v>
      </c>
    </row>
    <row r="26" spans="1:96" x14ac:dyDescent="0.2">
      <c r="CP26" s="66">
        <v>25</v>
      </c>
      <c r="CR26" s="66">
        <v>1374</v>
      </c>
    </row>
    <row r="27" spans="1:96" x14ac:dyDescent="0.2">
      <c r="CP27" s="66">
        <v>26</v>
      </c>
      <c r="CR27" s="66">
        <v>1375</v>
      </c>
    </row>
    <row r="28" spans="1:96" x14ac:dyDescent="0.2">
      <c r="CP28" s="66">
        <v>27</v>
      </c>
      <c r="CR28" s="66">
        <v>1376</v>
      </c>
    </row>
    <row r="29" spans="1:96" x14ac:dyDescent="0.2">
      <c r="CP29" s="66">
        <v>28</v>
      </c>
      <c r="CR29" s="66">
        <v>1377</v>
      </c>
    </row>
    <row r="30" spans="1:96" x14ac:dyDescent="0.2">
      <c r="CP30" s="66">
        <v>29</v>
      </c>
      <c r="CR30" s="66">
        <v>1378</v>
      </c>
    </row>
    <row r="31" spans="1:96" x14ac:dyDescent="0.2">
      <c r="CP31" s="66">
        <v>30</v>
      </c>
      <c r="CR31" s="66">
        <v>1379</v>
      </c>
    </row>
    <row r="32" spans="1:96" x14ac:dyDescent="0.2">
      <c r="CP32" s="66">
        <v>31</v>
      </c>
      <c r="CR32" s="66">
        <v>1380</v>
      </c>
    </row>
    <row r="33" spans="96:96" x14ac:dyDescent="0.2">
      <c r="CR33" s="66">
        <v>1381</v>
      </c>
    </row>
    <row r="34" spans="96:96" x14ac:dyDescent="0.2">
      <c r="CR34" s="66">
        <v>1382</v>
      </c>
    </row>
    <row r="35" spans="96:96" x14ac:dyDescent="0.2">
      <c r="CR35" s="66">
        <v>1383</v>
      </c>
    </row>
    <row r="36" spans="96:96" x14ac:dyDescent="0.2">
      <c r="CR36" s="66">
        <v>1384</v>
      </c>
    </row>
    <row r="37" spans="96:96" x14ac:dyDescent="0.2">
      <c r="CR37" s="66">
        <v>1385</v>
      </c>
    </row>
    <row r="38" spans="96:96" x14ac:dyDescent="0.2">
      <c r="CR38" s="66">
        <v>1386</v>
      </c>
    </row>
    <row r="39" spans="96:96" x14ac:dyDescent="0.2">
      <c r="CR39" s="66">
        <v>1387</v>
      </c>
    </row>
    <row r="40" spans="96:96" x14ac:dyDescent="0.2">
      <c r="CR40" s="66">
        <v>1388</v>
      </c>
    </row>
    <row r="41" spans="96:96" x14ac:dyDescent="0.2">
      <c r="CR41" s="66">
        <v>1389</v>
      </c>
    </row>
    <row r="42" spans="96:96" x14ac:dyDescent="0.2">
      <c r="CR42" s="66">
        <v>1390</v>
      </c>
    </row>
    <row r="43" spans="96:96" x14ac:dyDescent="0.2">
      <c r="CR43" s="66">
        <v>1391</v>
      </c>
    </row>
    <row r="44" spans="96:96" x14ac:dyDescent="0.2">
      <c r="CR44" s="66">
        <v>1392</v>
      </c>
    </row>
    <row r="45" spans="96:96" x14ac:dyDescent="0.2">
      <c r="CR45" s="66">
        <v>1393</v>
      </c>
    </row>
    <row r="46" spans="96:96" x14ac:dyDescent="0.2">
      <c r="CR46" s="66">
        <v>1394</v>
      </c>
    </row>
    <row r="47" spans="96:96" x14ac:dyDescent="0.2">
      <c r="CR47" s="66">
        <v>1395</v>
      </c>
    </row>
    <row r="48" spans="96:96" x14ac:dyDescent="0.2">
      <c r="CR48" s="66">
        <v>1396</v>
      </c>
    </row>
    <row r="49" spans="96:96" x14ac:dyDescent="0.2">
      <c r="CR49" s="66">
        <v>1397</v>
      </c>
    </row>
    <row r="50" spans="96:96" x14ac:dyDescent="0.2">
      <c r="CR50" s="66">
        <v>1398</v>
      </c>
    </row>
  </sheetData>
  <sheetProtection algorithmName="SHA-512" hashValue="q/RffTXdIxQvXPCXYtjPj6ia4QwqvltoIRgZ6XXFS+8K2mYH5S8vPWhfz8cty2fJYGavruVrk6Qi91GD7Kry5A==" saltValue="Qfw8J058SjjswXOMo13miw==" spinCount="100000" sheet="1" selectLockedCells="1" selectUnlockedCells="1"/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rightToLeft="1" workbookViewId="0">
      <selection activeCell="B3" sqref="A1:D18"/>
    </sheetView>
  </sheetViews>
  <sheetFormatPr defaultRowHeight="12.75" x14ac:dyDescent="0.2"/>
  <cols>
    <col min="1" max="1" width="41.42578125" style="37" bestFit="1" customWidth="1"/>
    <col min="2" max="2" width="15.7109375" style="37" bestFit="1" customWidth="1"/>
    <col min="3" max="3" width="13.7109375" style="37" bestFit="1" customWidth="1"/>
    <col min="4" max="4" width="12.85546875" style="37" bestFit="1" customWidth="1"/>
    <col min="5" max="5" width="11.28515625" style="37" bestFit="1" customWidth="1"/>
    <col min="6" max="16384" width="9.140625" style="37"/>
  </cols>
  <sheetData>
    <row r="1" spans="1:7" x14ac:dyDescent="0.2">
      <c r="A1" s="66"/>
      <c r="B1" s="66"/>
      <c r="C1" s="66" t="s">
        <v>95</v>
      </c>
      <c r="D1" s="66" t="s">
        <v>103</v>
      </c>
    </row>
    <row r="2" spans="1:7" x14ac:dyDescent="0.2">
      <c r="A2" s="66" t="s">
        <v>23</v>
      </c>
      <c r="B2" s="66"/>
      <c r="C2" s="66">
        <v>2438</v>
      </c>
      <c r="D2" s="66">
        <v>3047</v>
      </c>
      <c r="G2" s="38"/>
    </row>
    <row r="3" spans="1:7" x14ac:dyDescent="0.2">
      <c r="A3" s="66" t="s">
        <v>64</v>
      </c>
      <c r="B3" s="69">
        <f>ROUND(Sheet1!F23/(Sheet1!F7+Sheet1!F8+Sheet1!F9+Sheet1!F17+Sheet1!F18),2)</f>
        <v>0</v>
      </c>
      <c r="C3" s="66"/>
      <c r="D3" s="66"/>
    </row>
    <row r="4" spans="1:7" x14ac:dyDescent="0.2">
      <c r="A4" s="66" t="s">
        <v>65</v>
      </c>
      <c r="B4" s="69">
        <f>ROUND(Sheet1!F24/(Sheet1!F8+Sheet1!F9+Sheet1!F7+Sheet1!F17+Sheet1!F18),2)</f>
        <v>0</v>
      </c>
      <c r="C4" s="66"/>
      <c r="D4" s="66"/>
    </row>
    <row r="5" spans="1:7" x14ac:dyDescent="0.2">
      <c r="A5" s="66" t="s">
        <v>93</v>
      </c>
      <c r="B5" s="67">
        <f>Sheet1!G7+Sheet1!G8+Sheet1!G9+Sheet1!G10+Sheet1!G11+Sheet1!G12+Sheet1!G17+Sheet1!G18</f>
        <v>32401020</v>
      </c>
      <c r="C5" s="66"/>
      <c r="D5" s="66"/>
    </row>
    <row r="6" spans="1:7" x14ac:dyDescent="0.2">
      <c r="A6" s="66" t="s">
        <v>108</v>
      </c>
      <c r="B6" s="67">
        <f>'1400'!K2</f>
        <v>30000000</v>
      </c>
      <c r="C6" s="66"/>
      <c r="D6" s="66"/>
    </row>
    <row r="7" spans="1:7" x14ac:dyDescent="0.2">
      <c r="A7" s="66" t="s">
        <v>109</v>
      </c>
      <c r="B7" s="67">
        <f>IF(B5&lt;B6,B6-B5,0)</f>
        <v>0</v>
      </c>
      <c r="C7" s="66"/>
      <c r="D7" s="66"/>
    </row>
    <row r="8" spans="1:7" x14ac:dyDescent="0.2">
      <c r="A8" s="66" t="s">
        <v>86</v>
      </c>
      <c r="B8" s="67">
        <f>(SUM(Sheet1!G7:G24))-Sheet1!F26</f>
        <v>1966185</v>
      </c>
      <c r="C8" s="66"/>
      <c r="D8" s="66"/>
    </row>
    <row r="9" spans="1:7" x14ac:dyDescent="0.2">
      <c r="A9" s="66" t="s">
        <v>87</v>
      </c>
      <c r="B9" s="67">
        <f>IF(B8&lt;=4400000,4400000-B8,0)</f>
        <v>2433815</v>
      </c>
      <c r="C9" s="66"/>
      <c r="D9" s="66"/>
    </row>
    <row r="10" spans="1:7" x14ac:dyDescent="0.2">
      <c r="A10" s="66" t="s">
        <v>88</v>
      </c>
      <c r="B10" s="67">
        <f>IF(B9&gt;0,B7+B9,B7)</f>
        <v>2433815</v>
      </c>
      <c r="C10" s="66"/>
      <c r="D10" s="66"/>
    </row>
    <row r="11" spans="1:7" x14ac:dyDescent="0.2">
      <c r="A11" s="66" t="s">
        <v>94</v>
      </c>
      <c r="B11" s="67">
        <f>IF(B10&gt;B7,B10,B7)</f>
        <v>2433815</v>
      </c>
      <c r="C11" s="66"/>
      <c r="D11" s="66"/>
    </row>
    <row r="12" spans="1:7" x14ac:dyDescent="0.2">
      <c r="A12" s="66" t="s">
        <v>106</v>
      </c>
      <c r="B12" s="67">
        <f>D2*'sheet 3'!B17</f>
        <v>12614580</v>
      </c>
      <c r="C12" s="66"/>
      <c r="D12" s="66"/>
    </row>
    <row r="13" spans="1:7" x14ac:dyDescent="0.2">
      <c r="A13" s="66" t="s">
        <v>84</v>
      </c>
      <c r="B13" s="67">
        <f>Sheet1!D9*'98'!D2</f>
        <v>10091664</v>
      </c>
      <c r="C13" s="66"/>
      <c r="D13" s="66"/>
    </row>
    <row r="14" spans="1:7" x14ac:dyDescent="0.2">
      <c r="A14" s="66" t="s">
        <v>110</v>
      </c>
      <c r="B14" s="67">
        <f>IF(B12&gt;=B13,B12,B13)</f>
        <v>12614580</v>
      </c>
      <c r="C14" s="66"/>
      <c r="D14" s="66"/>
    </row>
    <row r="15" spans="1:7" x14ac:dyDescent="0.2">
      <c r="A15" s="66" t="s">
        <v>105</v>
      </c>
      <c r="B15" s="67">
        <f>Sheet1!F7+Sheet1!F8+Sheet1!F9+Sheet1!F10+Sheet1!F11+Sheet1!F12+Sheet1!F15+Sheet1!F16+Sheet1!F17+Sheet1!F18</f>
        <v>25920816</v>
      </c>
      <c r="C15" s="66"/>
      <c r="D15" s="66"/>
    </row>
    <row r="16" spans="1:7" x14ac:dyDescent="0.2">
      <c r="A16" s="66" t="s">
        <v>85</v>
      </c>
      <c r="B16" s="69">
        <f>ROUND(Sheet1!F20/'98'!B15,2)</f>
        <v>0.17</v>
      </c>
      <c r="C16" s="66"/>
      <c r="D16" s="66"/>
    </row>
    <row r="17" spans="1:4" x14ac:dyDescent="0.2">
      <c r="A17" s="66" t="s">
        <v>111</v>
      </c>
      <c r="B17" s="67">
        <f>'1400'!G4+'1400'!G5+'1400'!G6+'1400'!G7+'1400'!G8+'1400'!G9+'1400'!G12+'1400'!G13+'1400'!G14+'1400'!G15</f>
        <v>34918620</v>
      </c>
      <c r="C17" s="66"/>
      <c r="D17" s="66"/>
    </row>
    <row r="18" spans="1:4" x14ac:dyDescent="0.2">
      <c r="A18" s="66" t="s">
        <v>107</v>
      </c>
      <c r="B18" s="67">
        <f>ROUND(B17*B16,0)</f>
        <v>5936165</v>
      </c>
      <c r="C18" s="66"/>
      <c r="D18" s="66"/>
    </row>
    <row r="19" spans="1:4" x14ac:dyDescent="0.2">
      <c r="B19" s="39"/>
    </row>
    <row r="21" spans="1:4" ht="18.75" x14ac:dyDescent="0.55000000000000004">
      <c r="B21" s="40"/>
      <c r="C21" s="40"/>
    </row>
    <row r="22" spans="1:4" ht="18.75" x14ac:dyDescent="0.55000000000000004">
      <c r="B22" s="40"/>
      <c r="C22" s="40"/>
    </row>
  </sheetData>
  <sheetProtection algorithmName="SHA-512" hashValue="R5pKdJA4dQXOEPeC1jveq9vsI3HKPrRgQPpKaCDFqGxPFOUtufKlNI6slgnt5AFkkebOW7CuzH3LzNoUw43GaA==" saltValue="QROwyVjQcs/5IBwF4oq7GQ==" spinCount="100000" sheet="1" objects="1" scenarios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rightToLeft="1" topLeftCell="A4" workbookViewId="0">
      <selection activeCell="A13" sqref="A1:K23"/>
    </sheetView>
  </sheetViews>
  <sheetFormatPr defaultRowHeight="12.75" x14ac:dyDescent="0.2"/>
  <cols>
    <col min="1" max="1" width="22.42578125" customWidth="1"/>
    <col min="2" max="2" width="15" bestFit="1" customWidth="1"/>
    <col min="6" max="6" width="14" style="57" bestFit="1" customWidth="1"/>
    <col min="7" max="7" width="15.7109375" style="57" bestFit="1" customWidth="1"/>
    <col min="8" max="8" width="12.7109375" bestFit="1" customWidth="1"/>
    <col min="10" max="10" width="16.140625" bestFit="1" customWidth="1"/>
  </cols>
  <sheetData>
    <row r="1" spans="1:11" x14ac:dyDescent="0.2">
      <c r="A1" s="66"/>
      <c r="B1" s="66"/>
      <c r="C1" s="66"/>
      <c r="D1" s="66"/>
      <c r="E1" s="66"/>
      <c r="F1" s="67"/>
      <c r="G1" s="67"/>
      <c r="H1" s="66" t="s">
        <v>104</v>
      </c>
      <c r="I1" s="66">
        <v>2438</v>
      </c>
      <c r="J1" s="66"/>
      <c r="K1" s="66"/>
    </row>
    <row r="2" spans="1:11" x14ac:dyDescent="0.2">
      <c r="A2" s="66"/>
      <c r="B2" s="66"/>
      <c r="C2" s="66"/>
      <c r="D2" s="66"/>
      <c r="E2" s="66"/>
      <c r="F2" s="67"/>
      <c r="G2" s="67"/>
      <c r="H2" s="66" t="s">
        <v>103</v>
      </c>
      <c r="I2" s="66">
        <v>3047</v>
      </c>
      <c r="J2" s="66" t="s">
        <v>108</v>
      </c>
      <c r="K2" s="66">
        <v>30000000</v>
      </c>
    </row>
    <row r="3" spans="1:11" ht="22.5" x14ac:dyDescent="0.2">
      <c r="A3" s="116" t="s">
        <v>54</v>
      </c>
      <c r="B3" s="116"/>
      <c r="C3" s="116"/>
      <c r="D3" s="64" t="s">
        <v>97</v>
      </c>
      <c r="E3" s="64"/>
      <c r="F3" s="65" t="s">
        <v>91</v>
      </c>
      <c r="G3" s="65" t="s">
        <v>98</v>
      </c>
      <c r="H3" s="66"/>
      <c r="I3" s="66"/>
      <c r="J3" s="66"/>
      <c r="K3" s="66"/>
    </row>
    <row r="4" spans="1:11" ht="22.5" x14ac:dyDescent="0.65">
      <c r="A4" s="117" t="s">
        <v>92</v>
      </c>
      <c r="B4" s="115" t="s">
        <v>23</v>
      </c>
      <c r="C4" s="115"/>
      <c r="D4" s="118">
        <f>Sheet1!D7</f>
        <v>5520</v>
      </c>
      <c r="E4" s="118"/>
      <c r="F4" s="68">
        <f>Sheet1!F7</f>
        <v>13457760</v>
      </c>
      <c r="G4" s="68">
        <f>D4*I2</f>
        <v>16819440</v>
      </c>
      <c r="H4" s="66">
        <f>IF(I2&gt;B34,0,D4*B34)</f>
        <v>0</v>
      </c>
      <c r="I4" s="66"/>
      <c r="J4" s="66"/>
      <c r="K4" s="66"/>
    </row>
    <row r="5" spans="1:11" ht="22.5" x14ac:dyDescent="0.65">
      <c r="A5" s="117"/>
      <c r="B5" s="115" t="s">
        <v>55</v>
      </c>
      <c r="C5" s="115"/>
      <c r="D5" s="118">
        <f>Sheet1!D8</f>
        <v>0</v>
      </c>
      <c r="E5" s="118"/>
      <c r="F5" s="68">
        <f>Sheet1!F8</f>
        <v>0</v>
      </c>
      <c r="G5" s="68">
        <f>D5*I2</f>
        <v>0</v>
      </c>
      <c r="H5" s="66"/>
      <c r="I5" s="66"/>
      <c r="J5" s="66"/>
      <c r="K5" s="66"/>
    </row>
    <row r="6" spans="1:11" ht="22.5" x14ac:dyDescent="0.65">
      <c r="A6" s="117"/>
      <c r="B6" s="115" t="s">
        <v>69</v>
      </c>
      <c r="C6" s="115"/>
      <c r="D6" s="118">
        <f>Sheet1!D9</f>
        <v>3312</v>
      </c>
      <c r="E6" s="118"/>
      <c r="F6" s="68">
        <f>Sheet1!F9</f>
        <v>8074656</v>
      </c>
      <c r="G6" s="68">
        <f>'98'!B14</f>
        <v>12614580</v>
      </c>
      <c r="H6" s="66"/>
      <c r="I6" s="66"/>
      <c r="J6" s="66"/>
      <c r="K6" s="66"/>
    </row>
    <row r="7" spans="1:11" ht="22.5" x14ac:dyDescent="0.65">
      <c r="A7" s="115" t="s">
        <v>57</v>
      </c>
      <c r="B7" s="115"/>
      <c r="C7" s="115"/>
      <c r="D7" s="118">
        <f>Sheet1!D10</f>
        <v>1800</v>
      </c>
      <c r="E7" s="118"/>
      <c r="F7" s="68">
        <f>Sheet1!F10</f>
        <v>4388400</v>
      </c>
      <c r="G7" s="68">
        <f>D7*I2</f>
        <v>5484600</v>
      </c>
      <c r="H7" s="66"/>
      <c r="I7" s="66"/>
      <c r="J7" s="66"/>
      <c r="K7" s="66"/>
    </row>
    <row r="8" spans="1:11" ht="22.5" x14ac:dyDescent="0.65">
      <c r="A8" s="115" t="s">
        <v>59</v>
      </c>
      <c r="B8" s="115"/>
      <c r="C8" s="115"/>
      <c r="D8" s="118">
        <f>Sheet1!D11</f>
        <v>0</v>
      </c>
      <c r="E8" s="118"/>
      <c r="F8" s="68">
        <f>Sheet1!F11</f>
        <v>0</v>
      </c>
      <c r="G8" s="68">
        <f>D8*I2</f>
        <v>0</v>
      </c>
      <c r="H8" s="66"/>
      <c r="I8" s="66"/>
      <c r="J8" s="66"/>
      <c r="K8" s="66"/>
    </row>
    <row r="9" spans="1:11" ht="22.5" x14ac:dyDescent="0.65">
      <c r="A9" s="115" t="s">
        <v>61</v>
      </c>
      <c r="B9" s="115"/>
      <c r="C9" s="115"/>
      <c r="D9" s="118">
        <f>Sheet1!D12</f>
        <v>0</v>
      </c>
      <c r="E9" s="118"/>
      <c r="F9" s="68">
        <f>Sheet1!F12</f>
        <v>0</v>
      </c>
      <c r="G9" s="68">
        <f>D9*I2</f>
        <v>0</v>
      </c>
      <c r="H9" s="66"/>
      <c r="I9" s="66"/>
      <c r="J9" s="66"/>
      <c r="K9" s="66"/>
    </row>
    <row r="10" spans="1:11" ht="22.5" x14ac:dyDescent="0.65">
      <c r="A10" s="115" t="s">
        <v>62</v>
      </c>
      <c r="B10" s="115"/>
      <c r="C10" s="115"/>
      <c r="D10" s="118">
        <f>Sheet1!D13</f>
        <v>1215</v>
      </c>
      <c r="E10" s="118"/>
      <c r="F10" s="68">
        <f>Sheet1!F13</f>
        <v>2962170</v>
      </c>
      <c r="G10" s="68">
        <f>D10*I2</f>
        <v>3702105</v>
      </c>
      <c r="H10" s="66"/>
      <c r="I10" s="66"/>
      <c r="J10" s="66"/>
      <c r="K10" s="66"/>
    </row>
    <row r="11" spans="1:11" ht="22.5" x14ac:dyDescent="0.65">
      <c r="A11" s="115" t="s">
        <v>63</v>
      </c>
      <c r="B11" s="115"/>
      <c r="C11" s="115"/>
      <c r="D11" s="118">
        <f>Sheet1!D14</f>
        <v>315</v>
      </c>
      <c r="E11" s="118"/>
      <c r="F11" s="68">
        <f>Sheet1!F14</f>
        <v>767970</v>
      </c>
      <c r="G11" s="68">
        <f>D11*I2</f>
        <v>959805</v>
      </c>
      <c r="H11" s="66"/>
      <c r="I11" s="66"/>
      <c r="J11" s="66"/>
      <c r="K11" s="66"/>
    </row>
    <row r="12" spans="1:11" ht="22.5" x14ac:dyDescent="0.65">
      <c r="A12" s="115" t="s">
        <v>67</v>
      </c>
      <c r="B12" s="115"/>
      <c r="C12" s="115"/>
      <c r="D12" s="118">
        <f>Sheet1!D15</f>
        <v>0</v>
      </c>
      <c r="E12" s="118"/>
      <c r="F12" s="68">
        <f>Sheet1!F15</f>
        <v>0</v>
      </c>
      <c r="G12" s="68">
        <f>D12*I2</f>
        <v>0</v>
      </c>
      <c r="H12" s="66"/>
      <c r="I12" s="66"/>
      <c r="J12" s="66"/>
      <c r="K12" s="66"/>
    </row>
    <row r="13" spans="1:11" ht="22.5" x14ac:dyDescent="0.65">
      <c r="A13" s="115" t="s">
        <v>68</v>
      </c>
      <c r="B13" s="115"/>
      <c r="C13" s="115"/>
      <c r="D13" s="118">
        <f>Sheet1!D16</f>
        <v>0</v>
      </c>
      <c r="E13" s="118"/>
      <c r="F13" s="68">
        <f>Sheet1!F16</f>
        <v>0</v>
      </c>
      <c r="G13" s="68">
        <f>D13*I2</f>
        <v>0</v>
      </c>
      <c r="H13" s="66"/>
      <c r="I13" s="66"/>
      <c r="J13" s="66"/>
      <c r="K13" s="66"/>
    </row>
    <row r="14" spans="1:11" ht="18.75" x14ac:dyDescent="0.55000000000000004">
      <c r="A14" s="120" t="s">
        <v>90</v>
      </c>
      <c r="B14" s="120"/>
      <c r="C14" s="120"/>
      <c r="D14" s="118">
        <f>Sheet1!D17</f>
        <v>0</v>
      </c>
      <c r="E14" s="118"/>
      <c r="F14" s="68">
        <f>Sheet1!F17</f>
        <v>0</v>
      </c>
      <c r="G14" s="68">
        <f>D14*I2</f>
        <v>0</v>
      </c>
      <c r="H14" s="66"/>
      <c r="I14" s="66"/>
      <c r="J14" s="66"/>
      <c r="K14" s="66"/>
    </row>
    <row r="15" spans="1:11" ht="21" x14ac:dyDescent="0.6">
      <c r="A15" s="121" t="s">
        <v>89</v>
      </c>
      <c r="B15" s="121"/>
      <c r="C15" s="121"/>
      <c r="D15" s="118">
        <f>Sheet1!D18</f>
        <v>0</v>
      </c>
      <c r="E15" s="118"/>
      <c r="F15" s="68">
        <f>Sheet1!F18</f>
        <v>0</v>
      </c>
      <c r="G15" s="68">
        <f>D15*I2</f>
        <v>0</v>
      </c>
      <c r="H15" s="66"/>
      <c r="I15" s="66"/>
      <c r="J15" s="66"/>
      <c r="K15" s="66"/>
    </row>
    <row r="16" spans="1:11" ht="22.5" x14ac:dyDescent="0.65">
      <c r="A16" s="115" t="s">
        <v>56</v>
      </c>
      <c r="B16" s="115"/>
      <c r="C16" s="115"/>
      <c r="D16" s="118"/>
      <c r="E16" s="118"/>
      <c r="F16" s="68">
        <f>Sheet1!F19</f>
        <v>0</v>
      </c>
      <c r="G16" s="68">
        <f>F16</f>
        <v>0</v>
      </c>
      <c r="H16" s="66"/>
      <c r="I16" s="66"/>
      <c r="J16" s="66"/>
      <c r="K16" s="66"/>
    </row>
    <row r="17" spans="1:11" ht="22.5" x14ac:dyDescent="0.65">
      <c r="A17" s="115" t="s">
        <v>58</v>
      </c>
      <c r="B17" s="115"/>
      <c r="C17" s="115"/>
      <c r="D17" s="118">
        <f>Sheet1!D20</f>
        <v>0.17</v>
      </c>
      <c r="E17" s="118"/>
      <c r="F17" s="68">
        <f>Sheet1!F20</f>
        <v>4507968</v>
      </c>
      <c r="G17" s="68">
        <f>'98'!B18</f>
        <v>5936165</v>
      </c>
      <c r="H17" s="66"/>
      <c r="I17" s="66"/>
      <c r="J17" s="66"/>
      <c r="K17" s="66"/>
    </row>
    <row r="18" spans="1:11" ht="22.5" x14ac:dyDescent="0.65">
      <c r="A18" s="115" t="s">
        <v>60</v>
      </c>
      <c r="B18" s="115"/>
      <c r="C18" s="115"/>
      <c r="D18" s="118">
        <f>Sheet1!D21</f>
        <v>0</v>
      </c>
      <c r="E18" s="118"/>
      <c r="F18" s="68">
        <f>Sheet1!F21</f>
        <v>0</v>
      </c>
      <c r="G18" s="68">
        <f>IF(F18&gt;0,K2/4,0)</f>
        <v>0</v>
      </c>
      <c r="H18" s="66"/>
      <c r="I18" s="66"/>
      <c r="J18" s="66"/>
      <c r="K18" s="66"/>
    </row>
    <row r="19" spans="1:11" ht="22.5" x14ac:dyDescent="0.65">
      <c r="A19" s="115" t="s">
        <v>74</v>
      </c>
      <c r="B19" s="115"/>
      <c r="C19" s="115"/>
      <c r="D19" s="118">
        <f>Sheet1!D22</f>
        <v>0</v>
      </c>
      <c r="E19" s="118"/>
      <c r="F19" s="68">
        <f>Sheet1!F22</f>
        <v>5942216</v>
      </c>
      <c r="G19" s="68">
        <f>F19</f>
        <v>5942216</v>
      </c>
      <c r="H19" s="66"/>
      <c r="I19" s="66"/>
      <c r="J19" s="66"/>
      <c r="K19" s="66"/>
    </row>
    <row r="20" spans="1:11" ht="22.5" x14ac:dyDescent="0.65">
      <c r="A20" s="115" t="s">
        <v>64</v>
      </c>
      <c r="B20" s="115"/>
      <c r="C20" s="115"/>
      <c r="D20" s="118">
        <f>Sheet1!D23</f>
        <v>0</v>
      </c>
      <c r="E20" s="118"/>
      <c r="F20" s="68">
        <f>Sheet1!F23</f>
        <v>0</v>
      </c>
      <c r="G20" s="68">
        <f>(G4+G5+G6+G14+G15)*'98'!B3</f>
        <v>0</v>
      </c>
      <c r="H20" s="66"/>
      <c r="I20" s="66"/>
      <c r="J20" s="66"/>
      <c r="K20" s="66"/>
    </row>
    <row r="21" spans="1:11" ht="22.5" x14ac:dyDescent="0.65">
      <c r="A21" s="115" t="s">
        <v>65</v>
      </c>
      <c r="B21" s="115"/>
      <c r="C21" s="115"/>
      <c r="D21" s="118">
        <f>Sheet1!D24</f>
        <v>0</v>
      </c>
      <c r="E21" s="118"/>
      <c r="F21" s="68">
        <f>Sheet1!F24</f>
        <v>0</v>
      </c>
      <c r="G21" s="68">
        <f>(G4+G5+G6+G14+G15)*'98'!B4</f>
        <v>0</v>
      </c>
      <c r="H21" s="66"/>
      <c r="I21" s="66"/>
      <c r="J21" s="66"/>
      <c r="K21" s="66"/>
    </row>
    <row r="22" spans="1:11" ht="22.5" x14ac:dyDescent="0.65">
      <c r="A22" s="115" t="s">
        <v>79</v>
      </c>
      <c r="B22" s="115"/>
      <c r="C22" s="115"/>
      <c r="D22" s="118">
        <f>Sheet1!D25</f>
        <v>0</v>
      </c>
      <c r="E22" s="118"/>
      <c r="F22" s="68">
        <f>Sheet1!F25</f>
        <v>0</v>
      </c>
      <c r="G22" s="68">
        <f>'98'!B7</f>
        <v>0</v>
      </c>
      <c r="H22" s="66"/>
      <c r="I22" s="66"/>
      <c r="J22" s="66"/>
      <c r="K22" s="66"/>
    </row>
    <row r="23" spans="1:11" ht="22.5" x14ac:dyDescent="0.2">
      <c r="A23" s="119" t="s">
        <v>66</v>
      </c>
      <c r="B23" s="119"/>
      <c r="C23" s="119"/>
      <c r="D23" s="118">
        <f>Sheet1!D26</f>
        <v>0</v>
      </c>
      <c r="E23" s="118"/>
      <c r="F23" s="68">
        <f>Sheet1!F26</f>
        <v>40101140</v>
      </c>
      <c r="G23" s="68">
        <f>SUM(G4:G22)</f>
        <v>51458911</v>
      </c>
      <c r="H23" s="66"/>
      <c r="I23" s="66"/>
      <c r="J23" s="66"/>
      <c r="K23" s="66"/>
    </row>
    <row r="26" spans="1:11" x14ac:dyDescent="0.2">
      <c r="A26" s="56" t="s">
        <v>112</v>
      </c>
      <c r="B26" s="61">
        <f>G23-F23</f>
        <v>11357771</v>
      </c>
    </row>
    <row r="27" spans="1:11" x14ac:dyDescent="0.2">
      <c r="A27" s="56" t="s">
        <v>113</v>
      </c>
      <c r="B27" s="57">
        <v>25000000</v>
      </c>
    </row>
    <row r="28" spans="1:11" x14ac:dyDescent="0.2">
      <c r="B28" s="57">
        <f>IF(B26&gt;B27,F23+B27,F23)</f>
        <v>40101140</v>
      </c>
    </row>
    <row r="29" spans="1:11" x14ac:dyDescent="0.2">
      <c r="A29" s="56" t="s">
        <v>114</v>
      </c>
      <c r="B29" s="61">
        <f>G4+G5+G6+G7+G8+G9+G10+G11+G12+G13+G14+G15</f>
        <v>39580530</v>
      </c>
    </row>
    <row r="30" spans="1:11" x14ac:dyDescent="0.2">
      <c r="A30" s="56" t="s">
        <v>115</v>
      </c>
      <c r="B30">
        <f>D4+D5+D6+D7+D8+D9+D10+D11+D12+D13+D14+D15</f>
        <v>12162</v>
      </c>
    </row>
    <row r="31" spans="1:11" x14ac:dyDescent="0.2">
      <c r="A31" s="56" t="s">
        <v>77</v>
      </c>
      <c r="B31" s="61">
        <f>B29/B30</f>
        <v>3254.4425259003451</v>
      </c>
    </row>
    <row r="32" spans="1:11" x14ac:dyDescent="0.2">
      <c r="A32" s="56" t="s">
        <v>116</v>
      </c>
      <c r="B32" s="61">
        <f>B26-B27</f>
        <v>-13642229</v>
      </c>
    </row>
    <row r="33" spans="1:2" x14ac:dyDescent="0.2">
      <c r="A33" s="56" t="s">
        <v>117</v>
      </c>
      <c r="B33">
        <f>IF(B32&gt;0,1,0)</f>
        <v>0</v>
      </c>
    </row>
    <row r="34" spans="1:2" x14ac:dyDescent="0.2">
      <c r="B34" s="62" t="b">
        <f>IF(B33=1,(B29-B32)/B30)</f>
        <v>0</v>
      </c>
    </row>
  </sheetData>
  <sheetProtection algorithmName="SHA-512" hashValue="T5UwuihxQUgENoLB87Jidt0SeViqwoc4u9+KCHEB72tH/tIQ6CfAXT9XdtXuTx/ZPDBpYS+hy50wlk3EI1QFdQ==" saltValue="+pA1RAWFufk59777S+Mwow==" spinCount="100000" sheet="1" objects="1" scenarios="1"/>
  <mergeCells count="42">
    <mergeCell ref="D14:E14"/>
    <mergeCell ref="D9:E9"/>
    <mergeCell ref="D10:E10"/>
    <mergeCell ref="D11:E11"/>
    <mergeCell ref="D12:E12"/>
    <mergeCell ref="D13:E13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19:C19"/>
    <mergeCell ref="D21:E21"/>
    <mergeCell ref="D22:E22"/>
    <mergeCell ref="D23:E23"/>
    <mergeCell ref="D15:E15"/>
    <mergeCell ref="D16:E16"/>
    <mergeCell ref="D17:E17"/>
    <mergeCell ref="D18:E18"/>
    <mergeCell ref="D19:E19"/>
    <mergeCell ref="D20:E20"/>
    <mergeCell ref="D4:E4"/>
    <mergeCell ref="D8:E8"/>
    <mergeCell ref="D7:E7"/>
    <mergeCell ref="D6:E6"/>
    <mergeCell ref="D5:E5"/>
    <mergeCell ref="A13:C13"/>
    <mergeCell ref="A3:C3"/>
    <mergeCell ref="A4:A6"/>
    <mergeCell ref="B4:C4"/>
    <mergeCell ref="B5:C5"/>
    <mergeCell ref="B6:C6"/>
    <mergeCell ref="A7:C7"/>
    <mergeCell ref="A8:C8"/>
    <mergeCell ref="A9:C9"/>
    <mergeCell ref="A10:C10"/>
    <mergeCell ref="A11:C11"/>
    <mergeCell ref="A12:C12"/>
  </mergeCells>
  <dataValidations count="1">
    <dataValidation allowBlank="1" showInputMessage="1" showErrorMessage="1" errorTitle="توضیحات رو نخوندی" error="فقط خانه های زرد رنگ رو تکمیل کن" sqref="A3:C23 D3:G3"/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sheet 2</vt:lpstr>
      <vt:lpstr>sheet 3</vt:lpstr>
      <vt:lpstr>98</vt:lpstr>
      <vt:lpstr>1400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fazel</dc:creator>
  <cp:lastModifiedBy>Windows User</cp:lastModifiedBy>
  <cp:lastPrinted>2018-06-11T09:19:12Z</cp:lastPrinted>
  <dcterms:created xsi:type="dcterms:W3CDTF">2009-05-18T04:20:18Z</dcterms:created>
  <dcterms:modified xsi:type="dcterms:W3CDTF">2021-04-12T19:20:44Z</dcterms:modified>
</cp:coreProperties>
</file>